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wns\Documents\BOOK Manuscripts\BOOK 2 - Making big money decisions\"/>
    </mc:Choice>
  </mc:AlternateContent>
  <xr:revisionPtr revIDLastSave="0" documentId="13_ncr:1_{9204BC39-19DF-437E-9C01-EAACA6E490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" sheetId="8" r:id="rId1"/>
    <sheet name="1. Retire" sheetId="3" r:id="rId2"/>
    <sheet name="2. Vehicle" sheetId="7" r:id="rId3"/>
    <sheet name="3. Housing" sheetId="6" r:id="rId4"/>
    <sheet name="4. Raising a child" sheetId="1" r:id="rId5"/>
    <sheet name="5. College" sheetId="4" r:id="rId6"/>
    <sheet name="Owning a Pet" sheetId="9" state="hidden" r:id="rId7"/>
  </sheets>
  <definedNames>
    <definedName name="_xlnm.Print_Area" localSheetId="1">'1. Retire'!$A$1:$K$51</definedName>
    <definedName name="_xlnm.Print_Area" localSheetId="2">'2. Vehicle'!$A$1:$G$43</definedName>
    <definedName name="_xlnm.Print_Area" localSheetId="3">'3. Housing'!$A$1:$J$19</definedName>
    <definedName name="_xlnm.Print_Area" localSheetId="4">'4. Raising a child'!$A$1:$J$17</definedName>
    <definedName name="_xlnm.Print_Area" localSheetId="0">SUM!$A$1:$M$30</definedName>
  </definedNames>
  <calcPr calcId="191029"/>
</workbook>
</file>

<file path=xl/calcChain.xml><?xml version="1.0" encoding="utf-8"?>
<calcChain xmlns="http://schemas.openxmlformats.org/spreadsheetml/2006/main">
  <c r="F10" i="8" l="1"/>
  <c r="P10" i="8"/>
  <c r="O10" i="8"/>
  <c r="B12" i="9"/>
  <c r="E27" i="4"/>
  <c r="F27" i="4"/>
  <c r="G27" i="4" s="1"/>
  <c r="F26" i="4"/>
  <c r="C27" i="4"/>
  <c r="C26" i="4"/>
  <c r="G10" i="1"/>
  <c r="E10" i="1"/>
  <c r="H12" i="1"/>
  <c r="G13" i="1"/>
  <c r="G12" i="1"/>
  <c r="H13" i="1"/>
  <c r="E13" i="1"/>
  <c r="E57" i="6"/>
  <c r="D57" i="6"/>
  <c r="D6" i="9"/>
  <c r="C6" i="9"/>
  <c r="U10" i="8"/>
  <c r="T10" i="8"/>
  <c r="V10" i="8" s="1"/>
  <c r="B29" i="9"/>
  <c r="F16" i="8"/>
  <c r="F14" i="8"/>
  <c r="M15" i="8" s="1"/>
  <c r="F13" i="8"/>
  <c r="C7" i="7"/>
  <c r="E7" i="7" s="1"/>
  <c r="D16" i="7"/>
  <c r="E44" i="3"/>
  <c r="E11" i="6"/>
  <c r="F11" i="6" s="1"/>
  <c r="C10" i="8"/>
  <c r="E10" i="8"/>
  <c r="D45" i="3"/>
  <c r="C45" i="3"/>
  <c r="C11" i="8"/>
  <c r="E11" i="8"/>
  <c r="C39" i="7"/>
  <c r="C36" i="7"/>
  <c r="D8" i="7"/>
  <c r="E8" i="7" s="1"/>
  <c r="H106" i="7"/>
  <c r="D39" i="7" s="1"/>
  <c r="G106" i="7"/>
  <c r="F106" i="7"/>
  <c r="E106" i="7"/>
  <c r="D106" i="7"/>
  <c r="C106" i="7"/>
  <c r="H91" i="7"/>
  <c r="D38" i="7" s="1"/>
  <c r="G91" i="7"/>
  <c r="F91" i="7"/>
  <c r="E91" i="7"/>
  <c r="D91" i="7"/>
  <c r="C91" i="7"/>
  <c r="H76" i="7"/>
  <c r="D37" i="7" s="1"/>
  <c r="G76" i="7"/>
  <c r="F76" i="7"/>
  <c r="E76" i="7"/>
  <c r="D76" i="7"/>
  <c r="C76" i="7"/>
  <c r="H60" i="7"/>
  <c r="D36" i="7" s="1"/>
  <c r="G60" i="7"/>
  <c r="F60" i="7"/>
  <c r="E60" i="7"/>
  <c r="D60" i="7"/>
  <c r="C60" i="7"/>
  <c r="D19" i="7"/>
  <c r="D18" i="7"/>
  <c r="D17" i="7"/>
  <c r="C12" i="4"/>
  <c r="C11" i="4"/>
  <c r="F9" i="6"/>
  <c r="H27" i="4" l="1"/>
  <c r="I27" i="4"/>
  <c r="I26" i="4"/>
  <c r="G26" i="4"/>
  <c r="H26" i="4" s="1"/>
  <c r="D27" i="7"/>
  <c r="D26" i="7"/>
  <c r="G9" i="6"/>
  <c r="D25" i="7"/>
  <c r="D23" i="7"/>
  <c r="D24" i="7"/>
  <c r="E45" i="3"/>
  <c r="E39" i="7"/>
  <c r="E9" i="7"/>
  <c r="F12" i="8" s="1"/>
  <c r="E38" i="7"/>
  <c r="E37" i="7"/>
  <c r="B21" i="9"/>
  <c r="B19" i="9"/>
  <c r="B17" i="9"/>
  <c r="D13" i="9"/>
  <c r="C13" i="9"/>
  <c r="H11" i="1"/>
  <c r="H10" i="1"/>
  <c r="E12" i="1"/>
  <c r="E11" i="1"/>
  <c r="E9" i="1"/>
  <c r="F11" i="8"/>
  <c r="M11" i="8" s="1"/>
  <c r="F17" i="8" l="1"/>
  <c r="B22" i="9"/>
  <c r="B23" i="9" s="1"/>
  <c r="G11" i="1"/>
  <c r="E17" i="8"/>
  <c r="C17" i="8" l="1"/>
</calcChain>
</file>

<file path=xl/sharedStrings.xml><?xml version="1.0" encoding="utf-8"?>
<sst xmlns="http://schemas.openxmlformats.org/spreadsheetml/2006/main" count="363" uniqueCount="269">
  <si>
    <t>Starting Family/Raising Children</t>
  </si>
  <si>
    <t>Total</t>
  </si>
  <si>
    <t>Monthly</t>
  </si>
  <si>
    <t>Difference</t>
  </si>
  <si>
    <t>Annualized</t>
  </si>
  <si>
    <t>Saving for Retirement</t>
  </si>
  <si>
    <t>Buying an Auto</t>
  </si>
  <si>
    <t>Purchasing a House</t>
  </si>
  <si>
    <t>Goal</t>
  </si>
  <si>
    <t>Age 60</t>
  </si>
  <si>
    <t>Investing in College</t>
  </si>
  <si>
    <t>Sources</t>
  </si>
  <si>
    <t>https://www.bankrate.com/retirement/retirement-plan-calculator/</t>
  </si>
  <si>
    <t>https://educationdata.org/average-cost-of-college#</t>
  </si>
  <si>
    <t>https://www.nerdwallet.com/calculator/compound-interest-calculator</t>
  </si>
  <si>
    <t>Annual savings</t>
  </si>
  <si>
    <t>Toyota RAV4 (2020)</t>
  </si>
  <si>
    <t>2020 Audi Q5</t>
  </si>
  <si>
    <t>2020 Lexus NX 300</t>
  </si>
  <si>
    <t>Years of income needed</t>
  </si>
  <si>
    <t>Amount of Savings Needed</t>
  </si>
  <si>
    <t>Food</t>
  </si>
  <si>
    <t>Toys</t>
  </si>
  <si>
    <t>Dog</t>
  </si>
  <si>
    <t>Cat</t>
  </si>
  <si>
    <t>https://www.kiplinger.com/personal-finance/604284/the-financial-implications-of-fluffy-costs-of-becoming-a-pet-owner</t>
  </si>
  <si>
    <t>Training costs and property destruction</t>
  </si>
  <si>
    <t>Pet insurance</t>
  </si>
  <si>
    <t>General liability insurance</t>
  </si>
  <si>
    <t>Health care/vet bills</t>
  </si>
  <si>
    <t>Grooming</t>
  </si>
  <si>
    <t>Travel/pet sitting</t>
  </si>
  <si>
    <t>Avg</t>
  </si>
  <si>
    <t>one-time</t>
  </si>
  <si>
    <t>annually</t>
  </si>
  <si>
    <t>A couple of toys can easily be $50, dog bed $35, cat scratching post $30 or more</t>
  </si>
  <si>
    <t>The average cost for dog training is about $50 per hour, but obedience training can run $200 to $600 per week. A private dog trainer can run up to $150 per hour.</t>
  </si>
  <si>
    <t>Pet insurance can range from as low as $10 per month to higher than $100 per month.</t>
  </si>
  <si>
    <t>Keep in mind that if something serious comes up, a week in a veterinary hospital could mean a bill of $10,000 or more. With regular dental cleanings (easily $300 or more each time) and periodic vaccines, heartworm pills ($58-$159 per year) and flea and tick prevention ($150-$200 per year), even routine care adds up fast.</t>
  </si>
  <si>
    <t>annualized</t>
  </si>
  <si>
    <t>$100 per visit *4</t>
  </si>
  <si>
    <t>Assumpton: 5 overnights per year. Having a dog walker come by during the day can easily cost $20 depending on where you live. Doggy day care can be $25 per day and $40 for overnight.</t>
  </si>
  <si>
    <t>You can adopt a dog for around $60 to over $200 depending on the shelter (this usually includes having them spayed/neutered and all their vaccines), but I have seen French bulldog puppies through breeders for $7,000.</t>
  </si>
  <si>
    <t>Litter/cleaning</t>
  </si>
  <si>
    <t>Current age</t>
  </si>
  <si>
    <t>https://pettable.com/blog/cost-of-owning-a-dog#interesting-findings-</t>
  </si>
  <si>
    <t>Food, Pet Insurance, Vet Office Visit, Vaccines + Spay/Neuter</t>
  </si>
  <si>
    <t>https://www.caninejournal.com/cost-of-owning-a-dog/</t>
  </si>
  <si>
    <t>https://www.rover.com/blog/cost-of-dog-parenthood/</t>
  </si>
  <si>
    <t>Option A</t>
  </si>
  <si>
    <t>Option B</t>
  </si>
  <si>
    <t>One child</t>
  </si>
  <si>
    <t>Two children</t>
  </si>
  <si>
    <t>Three children</t>
  </si>
  <si>
    <t>Incremental</t>
  </si>
  <si>
    <t>No children</t>
  </si>
  <si>
    <t>https://www.epi.org/resources/budget/</t>
  </si>
  <si>
    <t>Cost Over</t>
  </si>
  <si>
    <t>Total Cost Over</t>
  </si>
  <si>
    <t>Annual Cost</t>
  </si>
  <si>
    <t>1 - Source: EPI Family Budget Calculator</t>
  </si>
  <si>
    <t>2 - Assumes 2.5% annual inflation rate</t>
  </si>
  <si>
    <t>3 - Assumes Incremental Annual Cost invested for 18 years with 6.5% annual return, compounded annually</t>
  </si>
  <si>
    <t>Annual Cost Over</t>
  </si>
  <si>
    <t>Total Incremental</t>
  </si>
  <si>
    <t>Owning Pets</t>
  </si>
  <si>
    <t>House examples:</t>
  </si>
  <si>
    <t>Price</t>
  </si>
  <si>
    <t>16-11 Jordan Rd, Fair Lawn Boro, NJ 07410-5243</t>
  </si>
  <si>
    <t>21-15 Exeter Pl #1X, Fair Lawn, NJ 07410</t>
  </si>
  <si>
    <t>Incremental cost for mortage, taxes, insurance and maintenance on $650k house vs $450k house. See worksheet.</t>
  </si>
  <si>
    <t>Total cost</t>
  </si>
  <si>
    <t>over 15 years</t>
  </si>
  <si>
    <t>Investing monthly savings of $1.8k per month from buying $450k house instead of $650k one, over 15 years.</t>
  </si>
  <si>
    <t>Private College</t>
  </si>
  <si>
    <t>Public College, In-State</t>
  </si>
  <si>
    <t>Public College, Out-of-State</t>
  </si>
  <si>
    <t>Private and Public, Out-of-State</t>
  </si>
  <si>
    <t>Private and Public, In-State</t>
  </si>
  <si>
    <t>IOC - 20 years</t>
  </si>
  <si>
    <t>New car with loan</t>
  </si>
  <si>
    <t>Used car with loan</t>
  </si>
  <si>
    <t>Leased car</t>
  </si>
  <si>
    <t>Total Payments</t>
  </si>
  <si>
    <t>TCO</t>
  </si>
  <si>
    <t xml:space="preserve">Monthly </t>
  </si>
  <si>
    <t>Payment</t>
  </si>
  <si>
    <t>Over 5 Years</t>
  </si>
  <si>
    <t>New car with loan vs Used car with loan</t>
  </si>
  <si>
    <t>New car with loan vs Leased car</t>
  </si>
  <si>
    <t>Leased car vs Used car with loan</t>
  </si>
  <si>
    <t>IOC - 30 years</t>
  </si>
  <si>
    <t>Total Cost of Ownership (TCO)</t>
  </si>
  <si>
    <t>TCO - 5 Years</t>
  </si>
  <si>
    <t>Year 2</t>
  </si>
  <si>
    <t>Year 3</t>
  </si>
  <si>
    <t>Year 4</t>
  </si>
  <si>
    <t>Year 5</t>
  </si>
  <si>
    <t>Tax Credit</t>
  </si>
  <si>
    <t>Insurance</t>
  </si>
  <si>
    <t>Maintenance</t>
  </si>
  <si>
    <t>Repairs</t>
  </si>
  <si>
    <t>Taxes &amp; Fees</t>
  </si>
  <si>
    <t>Financing</t>
  </si>
  <si>
    <t>Depreciation</t>
  </si>
  <si>
    <t>Fuel</t>
  </si>
  <si>
    <t>True Cost to Own®</t>
  </si>
  <si>
    <t>Year 1</t>
  </si>
  <si>
    <t>Ownership Costs: 5-Year Breakdown</t>
  </si>
  <si>
    <t>Selected Model: </t>
  </si>
  <si>
    <t>2020 RAV4 SUV LE 4dr SUV AWD (2.5L 4cyl 8A)</t>
  </si>
  <si>
    <t>*Based on a 5-year estimate with 15,000 miles driven per year.</t>
  </si>
  <si>
    <t>2020 NX 300 SUV 4dr SUV AWD (2.0L 4cyl Turbo 6A)</t>
  </si>
  <si>
    <t>2020 Q5 SUV Premium 4dr SUV AWD w/45 TFSI (2.0L 4cyl Turbo 7AM)</t>
  </si>
  <si>
    <t>Less Financing</t>
  </si>
  <si>
    <t>Payments</t>
  </si>
  <si>
    <t>2020 RAV4 vs 2023 Audi Q5</t>
  </si>
  <si>
    <t>2023 Audi Q5</t>
  </si>
  <si>
    <t>2023 Q5 SUV Premium Plus 4dr SUV AWD w/40 TFSI (2.0L 4cyl Turbo 7AM)</t>
  </si>
  <si>
    <t>Total IOC Benefit</t>
  </si>
  <si>
    <t>Lower Fund Fees</t>
  </si>
  <si>
    <t>Retirement Planning</t>
  </si>
  <si>
    <t>Current income</t>
  </si>
  <si>
    <t>Investments</t>
  </si>
  <si>
    <t>Incremental cost for attending a private versus public in-state college. Savings invested over 30 years. See worksheet.</t>
  </si>
  <si>
    <t>Monetary value if cost equivalent of raising third child was invested for 18 years.</t>
  </si>
  <si>
    <t>Investing for 30 years the $119,252 saved over four years from attending a public college instead of private.</t>
  </si>
  <si>
    <t>Invested Opportunity Cost</t>
  </si>
  <si>
    <t>Monetary value after 30 years of investing the cost of four years of public in-state college ($104,108).</t>
  </si>
  <si>
    <t>ARR</t>
  </si>
  <si>
    <t>% of Current Expenses</t>
  </si>
  <si>
    <t>Current retirement savings</t>
  </si>
  <si>
    <t>Age savings needed to cover</t>
  </si>
  <si>
    <t xml:space="preserve">Total Invested Opportunity Costs &gt;&gt; </t>
  </si>
  <si>
    <t>Annual saving %</t>
  </si>
  <si>
    <t>Retire at age 50</t>
  </si>
  <si>
    <t>Age 55</t>
  </si>
  <si>
    <t>Annual Expenses</t>
  </si>
  <si>
    <t>Current savings ($)</t>
  </si>
  <si>
    <t>Age savings lasts to</t>
  </si>
  <si>
    <t>Start Saving ASAP</t>
  </si>
  <si>
    <t>Savings at age 95</t>
  </si>
  <si>
    <t>n/a</t>
  </si>
  <si>
    <t>Fund Expenses</t>
  </si>
  <si>
    <t>Average annual cost to raise child to 18 in Bergen County NJ based on EPI Family Budget Calculator. See worksheet.</t>
  </si>
  <si>
    <r>
      <t xml:space="preserve">Opportunity Cost = </t>
    </r>
    <r>
      <rPr>
        <sz val="11"/>
        <color theme="1"/>
        <rFont val="Calibri"/>
        <family val="2"/>
        <scheme val="minor"/>
      </rPr>
      <t xml:space="preserve">The loss of potential gain from other alternatives when one alternative is chosen. </t>
    </r>
  </si>
  <si>
    <r>
      <t>Invested Opportunity Cost (IOC) =</t>
    </r>
    <r>
      <rPr>
        <sz val="11"/>
        <color theme="1"/>
        <rFont val="Calibri"/>
        <family val="2"/>
        <scheme val="minor"/>
      </rPr>
      <t xml:space="preserve"> The value that would be created by investing the equivalent opportunity cost. </t>
    </r>
  </si>
  <si>
    <t>Making Big Money Decisions</t>
  </si>
  <si>
    <t>Invested Opportunity Cost - New vs Used Car</t>
  </si>
  <si>
    <t>Invested Opportunity Cost - Used Car with Low Total Cost of Ownership (TCO)</t>
  </si>
  <si>
    <r>
      <t>TCO - 5 Years</t>
    </r>
    <r>
      <rPr>
        <u/>
        <vertAlign val="superscript"/>
        <sz val="11"/>
        <color theme="1"/>
        <rFont val="Calibri"/>
        <family val="2"/>
        <scheme val="minor"/>
      </rPr>
      <t>1</t>
    </r>
  </si>
  <si>
    <t>Excludes financing costs</t>
  </si>
  <si>
    <t>Source data: Edmunds</t>
  </si>
  <si>
    <t>See calculations below</t>
  </si>
  <si>
    <t>Monthly savings of $1,780 invested for 15 years</t>
  </si>
  <si>
    <t>Est monthly</t>
  </si>
  <si>
    <t>Invested Opportunity Cost - Investing savings from deciding to buy smaller, less expensive house</t>
  </si>
  <si>
    <t>Footnotes</t>
  </si>
  <si>
    <r>
      <t>cost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</si>
  <si>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Utilities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</si>
  <si>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IOC</t>
    </r>
    <r>
      <rPr>
        <vertAlign val="superscript"/>
        <sz val="11"/>
        <color theme="1"/>
        <rFont val="Calibri"/>
        <family val="2"/>
        <scheme val="minor"/>
      </rPr>
      <t>3</t>
    </r>
  </si>
  <si>
    <t>For 2 adults with:</t>
  </si>
  <si>
    <r>
      <t>Monthly costs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</si>
  <si>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18 Years</t>
    </r>
    <r>
      <rPr>
        <vertAlign val="superscript"/>
        <sz val="11"/>
        <color theme="1"/>
        <rFont val="Calibri"/>
        <family val="2"/>
        <scheme val="minor"/>
      </rPr>
      <t>2</t>
    </r>
  </si>
  <si>
    <t>Fund A</t>
  </si>
  <si>
    <t>Fund B</t>
  </si>
  <si>
    <t>Fund Type:</t>
  </si>
  <si>
    <t>Fund Symbol</t>
  </si>
  <si>
    <t>S&amp;P 500 Index Fund (Large Blend)</t>
  </si>
  <si>
    <t>SPICX</t>
  </si>
  <si>
    <t xml:space="preserve">Data source: FINRA Fund Analyzer </t>
  </si>
  <si>
    <t>https://tools.finra.org/fund_analyzer/</t>
  </si>
  <si>
    <t xml:space="preserve">Note: This does not include other fees, such as annuity, professional management, advisory, retirement account </t>
  </si>
  <si>
    <t>administration, that increases your costs</t>
  </si>
  <si>
    <t>Average Cost of College &amp; Tuition, September 6, 2023</t>
  </si>
  <si>
    <t>Per Year*</t>
  </si>
  <si>
    <t>*</t>
  </si>
  <si>
    <t>Total Cost</t>
  </si>
  <si>
    <t xml:space="preserve">IOC calculated using: </t>
  </si>
  <si>
    <t>Savings of 1.26% in fees (fund operating expenses) from moving $500k investment porfolio from actively managed MF to low-cost index ETF.</t>
  </si>
  <si>
    <t>Sending child to in-state public college.</t>
  </si>
  <si>
    <t>Paying for third child to attend college.</t>
  </si>
  <si>
    <t>Low cost index ETF on $500k investment.</t>
  </si>
  <si>
    <t>IOC</t>
  </si>
  <si>
    <t>Used car with loan vs Used car NO loan</t>
  </si>
  <si>
    <t>Difference - 5 Years</t>
  </si>
  <si>
    <t>Used car, NO loan</t>
  </si>
  <si>
    <t>Used Car with NO loan vs New Car with loan</t>
  </si>
  <si>
    <t>IOC - 30 Years</t>
  </si>
  <si>
    <t>Invested Opportunity Cost - Lower TCO</t>
  </si>
  <si>
    <t>Buying a used car with no loan and lower TCO.</t>
  </si>
  <si>
    <t>Investing over 30 years the financial value created by deciding to purchase of a used car instead of new one with financing, and selecting a car with lower total cost of ownership (over 5 years).</t>
  </si>
  <si>
    <t>+ Lower fund fees</t>
  </si>
  <si>
    <t>+ College</t>
  </si>
  <si>
    <t>Buy used with no loan and lower TCO versus buy new with loan and higher TCO. See worksheet.</t>
  </si>
  <si>
    <t>Data source: How much are utilities per month? NJ.com, Oct 2023</t>
  </si>
  <si>
    <t>Assumes higher price for more expensive house with higher square footage.</t>
  </si>
  <si>
    <t>Average monthly utility costs in NJ. Includes costs for energy, water, natural gas, internet, streaming, phone.</t>
  </si>
  <si>
    <r>
      <t>IOC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</si>
  <si>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Living in Bergen County NJ</t>
  </si>
  <si>
    <t>The Cost of Owning a Dog by State - NJ</t>
  </si>
  <si>
    <t>Annual</t>
  </si>
  <si>
    <t>Monthly Cost</t>
  </si>
  <si>
    <r>
      <t xml:space="preserve">Average cost of owning pets for </t>
    </r>
    <r>
      <rPr>
        <b/>
        <sz val="11"/>
        <color theme="1"/>
        <rFont val="Calibri"/>
        <family val="2"/>
        <scheme val="minor"/>
      </rPr>
      <t>12 years</t>
    </r>
    <r>
      <rPr>
        <sz val="11"/>
        <color theme="1"/>
        <rFont val="Calibri"/>
        <family val="2"/>
        <scheme val="minor"/>
      </rPr>
      <t>.</t>
    </r>
  </si>
  <si>
    <t>Acquisition cost</t>
  </si>
  <si>
    <t>Including Social Security</t>
  </si>
  <si>
    <t>Excluding Social Security</t>
  </si>
  <si>
    <t>Including Social Security*</t>
  </si>
  <si>
    <t>See definition for "Include Social Security Checkbox" in Retirement Calculator</t>
  </si>
  <si>
    <t>Not raising a third child.</t>
  </si>
  <si>
    <t>Annual savings=25%</t>
  </si>
  <si>
    <t>monthly</t>
  </si>
  <si>
    <t xml:space="preserve">  ….</t>
  </si>
  <si>
    <t>One dog</t>
  </si>
  <si>
    <t>One cat</t>
  </si>
  <si>
    <t>Disclaimer: This information is provided for illustrative purposes only. You are welcome to customize it for personal use.</t>
  </si>
  <si>
    <t>Buying less expensive house.</t>
  </si>
  <si>
    <t>Decision Made By Jenna and Joe</t>
  </si>
  <si>
    <t>What Does it Mean?</t>
  </si>
  <si>
    <t>VOO</t>
  </si>
  <si>
    <t>Sources:</t>
  </si>
  <si>
    <t>What’s the Average Car Payment Per Month? NerdWallet. Dec 2023;</t>
  </si>
  <si>
    <t>Should I Lease or Buy a Car? NerdWallet, Apr 2023</t>
  </si>
  <si>
    <t>https://www.edmunds.com/tco.html</t>
  </si>
  <si>
    <t>House A, Fair Lawn, NJ</t>
  </si>
  <si>
    <t>House B, Fair Lawn NJ</t>
  </si>
  <si>
    <t>300k</t>
  </si>
  <si>
    <t>375k</t>
  </si>
  <si>
    <t>Monthly pmts</t>
  </si>
  <si>
    <t>https://www.bankrate.com/mortgages/mortgage-calculator/</t>
  </si>
  <si>
    <t>IOC - 15 yrs</t>
  </si>
  <si>
    <t>Total interest</t>
  </si>
  <si>
    <t>Four children</t>
  </si>
  <si>
    <t>Inflation</t>
  </si>
  <si>
    <t>4-year cost</t>
  </si>
  <si>
    <t>Cost with inflation</t>
  </si>
  <si>
    <t>Public in-state institution</t>
  </si>
  <si>
    <t>Private institution</t>
  </si>
  <si>
    <t>Rate**</t>
  </si>
  <si>
    <t>**Source: Bankrate College Savings Calculator - https://www.bankrate.com/banking/savings/saving-for-college-calculator/</t>
  </si>
  <si>
    <r>
      <t>12 Years</t>
    </r>
    <r>
      <rPr>
        <u/>
        <vertAlign val="superscript"/>
        <sz val="11"/>
        <color theme="1"/>
        <rFont val="Calibri"/>
        <family val="2"/>
        <scheme val="minor"/>
      </rPr>
      <t>2</t>
    </r>
  </si>
  <si>
    <r>
      <t>IOC</t>
    </r>
    <r>
      <rPr>
        <u/>
        <vertAlign val="superscript"/>
        <sz val="11"/>
        <color theme="1"/>
        <rFont val="Calibri"/>
        <family val="2"/>
        <scheme val="minor"/>
      </rPr>
      <t>3</t>
    </r>
  </si>
  <si>
    <t>Notes:</t>
  </si>
  <si>
    <r>
      <t>Annual cost</t>
    </r>
    <r>
      <rPr>
        <u/>
        <vertAlign val="superscript"/>
        <sz val="11"/>
        <color theme="1"/>
        <rFont val="Calibri"/>
        <family val="2"/>
        <scheme val="minor"/>
      </rPr>
      <t>1</t>
    </r>
  </si>
  <si>
    <t>(1) Expense category</t>
  </si>
  <si>
    <t>(2) Annual cost over lifespan of pet</t>
  </si>
  <si>
    <t>(3) Monthly 'savings' invested over 12 years at 6.5%</t>
  </si>
  <si>
    <t>one-time (cost spread over 12 years)</t>
  </si>
  <si>
    <t>(assumes 3.5% annual income increase, equal to inflation rate)</t>
  </si>
  <si>
    <t>Financial value created by increasing savings rate by 15%, from 10% of income to 25%, over 30 years in tax deferred retirement account.</t>
  </si>
  <si>
    <t>Saving 25% of income vs. 10%.</t>
  </si>
  <si>
    <t>Assumes averge annual income of $185k, annual savings increase of 15%, over 30 years. Opportunity cost assumes modest 6.5% investment rate.</t>
  </si>
  <si>
    <t>10%</t>
  </si>
  <si>
    <t>25%</t>
  </si>
  <si>
    <t>Monthly contribution:</t>
  </si>
  <si>
    <r>
      <t>[1] Saving for retirement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</si>
  <si>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[2] Buying a vehicle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</si>
  <si>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[3] Purchasing a house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</si>
  <si>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[4] Raising children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</si>
  <si>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[5] Investing in college</t>
    </r>
    <r>
      <rPr>
        <vertAlign val="superscript"/>
        <sz val="12"/>
        <color theme="1"/>
        <rFont val="Calibri"/>
        <family val="2"/>
        <scheme val="minor"/>
      </rPr>
      <t>5</t>
    </r>
  </si>
  <si>
    <t>Age 57</t>
  </si>
  <si>
    <t>Savings at 57</t>
  </si>
  <si>
    <r>
      <t>Retirement age=60; Income required at retirement=</t>
    </r>
    <r>
      <rPr>
        <b/>
        <sz val="11"/>
        <color rgb="FFC00000"/>
        <rFont val="Calibri"/>
        <family val="2"/>
        <scheme val="minor"/>
      </rPr>
      <t>80%</t>
    </r>
    <r>
      <rPr>
        <sz val="11"/>
        <color theme="1"/>
        <rFont val="Calibri"/>
        <family val="2"/>
        <scheme val="minor"/>
      </rPr>
      <t>; Annual savings=25%</t>
    </r>
  </si>
  <si>
    <r>
      <t>% income required=</t>
    </r>
    <r>
      <rPr>
        <b/>
        <i/>
        <u/>
        <sz val="9"/>
        <color rgb="FFC00000"/>
        <rFont val="Calibri"/>
        <family val="2"/>
        <scheme val="minor"/>
      </rPr>
      <t>50%</t>
    </r>
  </si>
  <si>
    <r>
      <t>Retirement age=</t>
    </r>
    <r>
      <rPr>
        <b/>
        <i/>
        <u/>
        <sz val="9"/>
        <color rgb="FFC00000"/>
        <rFont val="Calibri"/>
        <family val="2"/>
        <scheme val="minor"/>
      </rPr>
      <t>57</t>
    </r>
  </si>
  <si>
    <t>NerdWallet</t>
  </si>
  <si>
    <t>Bankrate</t>
  </si>
  <si>
    <t xml:space="preserve">How much house can you afford? Calculators from: </t>
  </si>
  <si>
    <t>Zillow.com: Mortgage P&amp;I, Property taxes, Home Insurance, HOA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</si>
</sst>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&quot;$&quot;* #,##0.000_);_(&quot;$&quot;* \(#,##0.000\);_(&quot;$&quot;* &quot;-&quot;???_);_(@_)"/>
  </numFmts>
  <fonts count="4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3.5"/>
      <color rgb="FF0F1A2A"/>
      <name val="Inherit"/>
    </font>
    <font>
      <sz val="18"/>
      <color rgb="FF0F1A2A"/>
      <name val="Inherit"/>
    </font>
    <font>
      <b/>
      <sz val="11"/>
      <color rgb="FF2A3546"/>
      <name val="Calibri"/>
      <family val="2"/>
      <scheme val="minor"/>
    </font>
    <font>
      <sz val="11"/>
      <color rgb="FF2A3546"/>
      <name val="Calibri"/>
      <family val="2"/>
      <scheme val="minor"/>
    </font>
    <font>
      <sz val="11"/>
      <color rgb="FF2A3546"/>
      <name val="Arial"/>
      <family val="2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b/>
      <u/>
      <sz val="12"/>
      <color theme="8" tint="-0.249977111117893"/>
      <name val="Calibri"/>
      <family val="2"/>
      <scheme val="minor"/>
    </font>
    <font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u/>
      <sz val="14"/>
      <color theme="8" tint="-0.249977111117893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u/>
      <sz val="9"/>
      <name val="Calibri"/>
      <family val="2"/>
      <scheme val="minor"/>
    </font>
    <font>
      <b/>
      <i/>
      <u/>
      <sz val="9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/>
      <bottom/>
      <diagonal/>
    </border>
    <border>
      <left/>
      <right/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/>
      <top/>
      <bottom style="dashed">
        <color auto="1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 style="double">
        <color rgb="FF00B050"/>
      </right>
      <top/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/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double">
        <color rgb="FF00B050"/>
      </left>
      <right style="double">
        <color rgb="FF00B050"/>
      </right>
      <top/>
      <bottom style="dashed">
        <color theme="0" tint="-0.499984740745262"/>
      </bottom>
      <diagonal/>
    </border>
    <border>
      <left style="double">
        <color rgb="FF00B050"/>
      </left>
      <right style="double">
        <color rgb="FF00B050"/>
      </right>
      <top style="dashed">
        <color theme="0" tint="-0.499984740745262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double">
        <color rgb="FF00B050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double">
        <color rgb="FF00B050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rgb="FF00B050"/>
      </right>
      <top style="medium">
        <color indexed="64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ashed">
        <color theme="0" tint="-0.499984740745262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 style="medium">
        <color indexed="64"/>
      </top>
      <bottom style="double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medium">
        <color indexed="64"/>
      </top>
      <bottom style="double">
        <color indexed="64"/>
      </bottom>
      <diagonal/>
    </border>
    <border>
      <left style="dotted">
        <color theme="1"/>
      </left>
      <right style="dotted">
        <color theme="1"/>
      </right>
      <top/>
      <bottom style="dashed">
        <color theme="0" tint="-0.499984740745262"/>
      </bottom>
      <diagonal/>
    </border>
    <border>
      <left style="dotted">
        <color theme="1"/>
      </left>
      <right style="dotted">
        <color theme="1"/>
      </right>
      <top/>
      <bottom style="double">
        <color indexed="64"/>
      </bottom>
      <diagonal/>
    </border>
    <border>
      <left style="dotted">
        <color theme="1"/>
      </left>
      <right style="dotted">
        <color theme="1"/>
      </right>
      <top style="dashed">
        <color theme="0" tint="-0.499984740745262"/>
      </top>
      <bottom style="dotted">
        <color theme="1"/>
      </bottom>
      <diagonal/>
    </border>
    <border>
      <left style="double">
        <color rgb="FF00B050"/>
      </left>
      <right style="double">
        <color rgb="FF00B050"/>
      </right>
      <top/>
      <bottom style="double">
        <color indexed="64"/>
      </bottom>
      <diagonal/>
    </border>
    <border>
      <left style="double">
        <color rgb="FF00B050"/>
      </left>
      <right style="double">
        <color rgb="FF00B050"/>
      </right>
      <top style="dashed">
        <color theme="0" tint="-0.499984740745262"/>
      </top>
      <bottom style="medium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otted">
        <color theme="1"/>
      </left>
      <right style="dashed">
        <color theme="1"/>
      </right>
      <top style="double">
        <color indexed="64"/>
      </top>
      <bottom style="dashed">
        <color theme="0" tint="-0.499984740745262"/>
      </bottom>
      <diagonal/>
    </border>
    <border>
      <left style="dotted">
        <color theme="1"/>
      </left>
      <right style="dashed">
        <color theme="1"/>
      </right>
      <top style="dashed">
        <color theme="0" tint="-0.499984740745262"/>
      </top>
      <bottom style="medium">
        <color indexed="64"/>
      </bottom>
      <diagonal/>
    </border>
    <border>
      <left style="dotted">
        <color theme="1"/>
      </left>
      <right style="dashed">
        <color theme="1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292">
    <xf numFmtId="0" fontId="0" fillId="0" borderId="0" xfId="0"/>
    <xf numFmtId="0" fontId="4" fillId="0" borderId="0" xfId="0" applyFont="1" applyAlignment="1">
      <alignment horizontal="right"/>
    </xf>
    <xf numFmtId="0" fontId="8" fillId="0" borderId="0" xfId="0" applyFont="1"/>
    <xf numFmtId="0" fontId="10" fillId="0" borderId="0" xfId="5"/>
    <xf numFmtId="166" fontId="0" fillId="0" borderId="0" xfId="3" applyNumberFormat="1" applyFont="1"/>
    <xf numFmtId="0" fontId="0" fillId="0" borderId="0" xfId="0" applyAlignment="1">
      <alignment horizontal="right"/>
    </xf>
    <xf numFmtId="0" fontId="12" fillId="0" borderId="0" xfId="0" applyFont="1"/>
    <xf numFmtId="0" fontId="0" fillId="0" borderId="1" xfId="0" applyBorder="1"/>
    <xf numFmtId="166" fontId="0" fillId="0" borderId="1" xfId="3" applyNumberFormat="1" applyFont="1" applyBorder="1"/>
    <xf numFmtId="166" fontId="3" fillId="0" borderId="0" xfId="3" applyNumberFormat="1" applyFont="1"/>
    <xf numFmtId="166" fontId="3" fillId="0" borderId="0" xfId="3" applyNumberFormat="1" applyFont="1" applyAlignment="1">
      <alignment horizontal="right"/>
    </xf>
    <xf numFmtId="166" fontId="15" fillId="0" borderId="0" xfId="3" applyNumberFormat="1" applyFont="1"/>
    <xf numFmtId="0" fontId="8" fillId="0" borderId="1" xfId="0" applyFont="1" applyBorder="1"/>
    <xf numFmtId="166" fontId="10" fillId="0" borderId="0" xfId="5" applyNumberFormat="1" applyAlignment="1">
      <alignment horizontal="left"/>
    </xf>
    <xf numFmtId="166" fontId="2" fillId="0" borderId="0" xfId="3" applyNumberFormat="1" applyFont="1" applyAlignment="1">
      <alignment horizontal="left"/>
    </xf>
    <xf numFmtId="166" fontId="13" fillId="0" borderId="0" xfId="3" applyNumberFormat="1" applyFont="1"/>
    <xf numFmtId="166" fontId="13" fillId="0" borderId="1" xfId="3" applyNumberFormat="1" applyFont="1" applyBorder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26" fillId="0" borderId="0" xfId="0" applyFont="1"/>
    <xf numFmtId="0" fontId="27" fillId="0" borderId="0" xfId="0" applyFont="1"/>
    <xf numFmtId="0" fontId="27" fillId="3" borderId="0" xfId="0" applyFont="1" applyFill="1"/>
    <xf numFmtId="0" fontId="1" fillId="3" borderId="0" xfId="0" applyFont="1" applyFill="1"/>
    <xf numFmtId="0" fontId="7" fillId="3" borderId="0" xfId="0" applyFont="1" applyFill="1"/>
    <xf numFmtId="0" fontId="0" fillId="3" borderId="0" xfId="0" applyFill="1"/>
    <xf numFmtId="0" fontId="26" fillId="3" borderId="0" xfId="0" applyFont="1" applyFill="1"/>
    <xf numFmtId="0" fontId="31" fillId="3" borderId="0" xfId="0" applyFont="1" applyFill="1" applyAlignment="1">
      <alignment horizontal="left"/>
    </xf>
    <xf numFmtId="0" fontId="6" fillId="3" borderId="0" xfId="0" applyFont="1" applyFill="1"/>
    <xf numFmtId="0" fontId="10" fillId="3" borderId="0" xfId="5" applyFill="1"/>
    <xf numFmtId="0" fontId="4" fillId="3" borderId="0" xfId="0" applyFont="1" applyFill="1" applyAlignment="1">
      <alignment horizontal="right"/>
    </xf>
    <xf numFmtId="166" fontId="3" fillId="3" borderId="0" xfId="3" applyNumberFormat="1" applyFont="1" applyFill="1" applyAlignment="1">
      <alignment horizontal="right"/>
    </xf>
    <xf numFmtId="166" fontId="0" fillId="3" borderId="0" xfId="3" applyNumberFormat="1" applyFont="1" applyFill="1" applyAlignment="1">
      <alignment horizontal="right"/>
    </xf>
    <xf numFmtId="166" fontId="3" fillId="3" borderId="0" xfId="0" applyNumberFormat="1" applyFont="1" applyFill="1"/>
    <xf numFmtId="166" fontId="0" fillId="3" borderId="0" xfId="0" applyNumberFormat="1" applyFill="1"/>
    <xf numFmtId="0" fontId="18" fillId="3" borderId="0" xfId="0" applyFont="1" applyFill="1" applyAlignment="1">
      <alignment horizontal="center"/>
    </xf>
    <xf numFmtId="0" fontId="0" fillId="3" borderId="1" xfId="0" applyFill="1" applyBorder="1"/>
    <xf numFmtId="0" fontId="7" fillId="3" borderId="1" xfId="0" applyFont="1" applyFill="1" applyBorder="1"/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0" fontId="18" fillId="3" borderId="0" xfId="0" applyFont="1" applyFill="1"/>
    <xf numFmtId="0" fontId="32" fillId="3" borderId="0" xfId="5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6" fillId="3" borderId="4" xfId="0" applyFont="1" applyFill="1" applyBorder="1"/>
    <xf numFmtId="0" fontId="0" fillId="3" borderId="4" xfId="0" applyFill="1" applyBorder="1"/>
    <xf numFmtId="0" fontId="2" fillId="3" borderId="4" xfId="0" applyFont="1" applyFill="1" applyBorder="1" applyAlignment="1">
      <alignment horizontal="right"/>
    </xf>
    <xf numFmtId="166" fontId="7" fillId="3" borderId="0" xfId="0" applyNumberFormat="1" applyFont="1" applyFill="1"/>
    <xf numFmtId="0" fontId="11" fillId="3" borderId="0" xfId="0" applyFont="1" applyFill="1"/>
    <xf numFmtId="0" fontId="12" fillId="3" borderId="0" xfId="0" applyFont="1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right"/>
    </xf>
    <xf numFmtId="166" fontId="0" fillId="3" borderId="0" xfId="3" applyNumberFormat="1" applyFont="1" applyFill="1"/>
    <xf numFmtId="0" fontId="0" fillId="3" borderId="0" xfId="0" quotePrefix="1" applyFill="1"/>
    <xf numFmtId="166" fontId="10" fillId="3" borderId="0" xfId="5" applyNumberFormat="1" applyFill="1"/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0" xfId="0" applyFill="1" applyAlignment="1">
      <alignment horizontal="left"/>
    </xf>
    <xf numFmtId="166" fontId="3" fillId="3" borderId="1" xfId="3" applyNumberFormat="1" applyFont="1" applyFill="1" applyBorder="1"/>
    <xf numFmtId="0" fontId="25" fillId="3" borderId="0" xfId="0" applyFont="1" applyFill="1" applyAlignment="1">
      <alignment horizontal="left"/>
    </xf>
    <xf numFmtId="0" fontId="13" fillId="3" borderId="0" xfId="0" applyFont="1" applyFill="1"/>
    <xf numFmtId="166" fontId="3" fillId="3" borderId="0" xfId="3" applyNumberFormat="1" applyFont="1" applyFill="1"/>
    <xf numFmtId="0" fontId="4" fillId="3" borderId="0" xfId="0" applyFont="1" applyFill="1"/>
    <xf numFmtId="166" fontId="2" fillId="3" borderId="0" xfId="3" applyNumberFormat="1" applyFont="1" applyFill="1"/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8" xfId="0" applyFont="1" applyFill="1" applyBorder="1" applyAlignment="1">
      <alignment horizontal="left"/>
    </xf>
    <xf numFmtId="0" fontId="21" fillId="3" borderId="7" xfId="0" applyFont="1" applyFill="1" applyBorder="1" applyAlignment="1">
      <alignment horizontal="left"/>
    </xf>
    <xf numFmtId="0" fontId="21" fillId="3" borderId="6" xfId="0" applyFont="1" applyFill="1" applyBorder="1" applyAlignment="1">
      <alignment horizontal="left" vertical="top"/>
    </xf>
    <xf numFmtId="6" fontId="22" fillId="3" borderId="0" xfId="0" applyNumberFormat="1" applyFont="1" applyFill="1" applyAlignment="1">
      <alignment vertical="top" wrapText="1"/>
    </xf>
    <xf numFmtId="6" fontId="21" fillId="3" borderId="6" xfId="0" applyNumberFormat="1" applyFont="1" applyFill="1" applyBorder="1" applyAlignment="1">
      <alignment vertical="top" wrapText="1"/>
    </xf>
    <xf numFmtId="0" fontId="21" fillId="3" borderId="8" xfId="0" applyFont="1" applyFill="1" applyBorder="1" applyAlignment="1">
      <alignment horizontal="left" vertical="top"/>
    </xf>
    <xf numFmtId="6" fontId="21" fillId="3" borderId="7" xfId="0" applyNumberFormat="1" applyFont="1" applyFill="1" applyBorder="1" applyAlignment="1">
      <alignment vertical="top" wrapText="1"/>
    </xf>
    <xf numFmtId="6" fontId="21" fillId="3" borderId="8" xfId="0" applyNumberFormat="1" applyFont="1" applyFill="1" applyBorder="1" applyAlignment="1">
      <alignment vertical="top" wrapText="1"/>
    </xf>
    <xf numFmtId="0" fontId="15" fillId="3" borderId="0" xfId="0" applyFont="1" applyFill="1" applyAlignment="1">
      <alignment horizontal="left" vertical="top"/>
    </xf>
    <xf numFmtId="6" fontId="15" fillId="3" borderId="0" xfId="0" applyNumberFormat="1" applyFont="1" applyFill="1" applyAlignment="1">
      <alignment vertical="top" wrapText="1"/>
    </xf>
    <xf numFmtId="0" fontId="23" fillId="3" borderId="0" xfId="0" applyFont="1" applyFill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0" fontId="0" fillId="3" borderId="2" xfId="0" applyFill="1" applyBorder="1" applyAlignment="1">
      <alignment wrapText="1"/>
    </xf>
    <xf numFmtId="166" fontId="0" fillId="3" borderId="2" xfId="3" applyNumberFormat="1" applyFont="1" applyFill="1" applyBorder="1" applyAlignment="1">
      <alignment horizontal="center" wrapText="1"/>
    </xf>
    <xf numFmtId="166" fontId="0" fillId="3" borderId="0" xfId="3" applyNumberFormat="1" applyFont="1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166" fontId="0" fillId="3" borderId="4" xfId="3" applyNumberFormat="1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166" fontId="0" fillId="3" borderId="0" xfId="3" applyNumberFormat="1" applyFont="1" applyFill="1" applyAlignment="1">
      <alignment horizontal="center" wrapText="1"/>
    </xf>
    <xf numFmtId="166" fontId="3" fillId="3" borderId="4" xfId="3" applyNumberFormat="1" applyFont="1" applyFill="1" applyBorder="1"/>
    <xf numFmtId="10" fontId="13" fillId="3" borderId="0" xfId="2" applyNumberFormat="1" applyFont="1" applyFill="1"/>
    <xf numFmtId="0" fontId="25" fillId="3" borderId="0" xfId="0" applyFont="1" applyFill="1"/>
    <xf numFmtId="166" fontId="0" fillId="3" borderId="1" xfId="3" applyNumberFormat="1" applyFont="1" applyFill="1" applyBorder="1"/>
    <xf numFmtId="166" fontId="3" fillId="3" borderId="0" xfId="3" applyNumberFormat="1" applyFont="1" applyFill="1" applyBorder="1"/>
    <xf numFmtId="166" fontId="0" fillId="3" borderId="0" xfId="3" applyNumberFormat="1" applyFont="1" applyFill="1" applyBorder="1"/>
    <xf numFmtId="10" fontId="13" fillId="3" borderId="0" xfId="0" applyNumberFormat="1" applyFont="1" applyFill="1"/>
    <xf numFmtId="0" fontId="28" fillId="3" borderId="4" xfId="0" applyFont="1" applyFill="1" applyBorder="1" applyAlignment="1">
      <alignment horizontal="right" wrapText="1"/>
    </xf>
    <xf numFmtId="166" fontId="15" fillId="3" borderId="0" xfId="0" applyNumberFormat="1" applyFont="1" applyFill="1"/>
    <xf numFmtId="0" fontId="0" fillId="2" borderId="12" xfId="0" applyFill="1" applyBorder="1"/>
    <xf numFmtId="166" fontId="0" fillId="2" borderId="12" xfId="3" applyNumberFormat="1" applyFont="1" applyFill="1" applyBorder="1"/>
    <xf numFmtId="0" fontId="0" fillId="3" borderId="15" xfId="0" applyFill="1" applyBorder="1"/>
    <xf numFmtId="166" fontId="0" fillId="3" borderId="15" xfId="3" applyNumberFormat="1" applyFont="1" applyFill="1" applyBorder="1"/>
    <xf numFmtId="0" fontId="0" fillId="3" borderId="16" xfId="0" applyFill="1" applyBorder="1"/>
    <xf numFmtId="166" fontId="0" fillId="3" borderId="16" xfId="3" applyNumberFormat="1" applyFont="1" applyFill="1" applyBorder="1"/>
    <xf numFmtId="166" fontId="0" fillId="3" borderId="15" xfId="0" applyNumberFormat="1" applyFill="1" applyBorder="1"/>
    <xf numFmtId="166" fontId="0" fillId="3" borderId="16" xfId="0" applyNumberFormat="1" applyFill="1" applyBorder="1"/>
    <xf numFmtId="166" fontId="3" fillId="3" borderId="16" xfId="3" applyNumberFormat="1" applyFont="1" applyFill="1" applyBorder="1"/>
    <xf numFmtId="166" fontId="0" fillId="3" borderId="0" xfId="3" applyNumberFormat="1" applyFont="1" applyFill="1" applyBorder="1" applyAlignment="1"/>
    <xf numFmtId="0" fontId="28" fillId="3" borderId="0" xfId="0" quotePrefix="1" applyFont="1" applyFill="1" applyAlignment="1">
      <alignment horizontal="right"/>
    </xf>
    <xf numFmtId="166" fontId="0" fillId="2" borderId="17" xfId="3" applyNumberFormat="1" applyFont="1" applyFill="1" applyBorder="1"/>
    <xf numFmtId="0" fontId="0" fillId="2" borderId="19" xfId="0" applyFill="1" applyBorder="1"/>
    <xf numFmtId="166" fontId="0" fillId="2" borderId="20" xfId="3" applyNumberFormat="1" applyFont="1" applyFill="1" applyBorder="1"/>
    <xf numFmtId="166" fontId="0" fillId="2" borderId="20" xfId="0" applyNumberFormat="1" applyFill="1" applyBorder="1"/>
    <xf numFmtId="166" fontId="3" fillId="2" borderId="21" xfId="3" applyNumberFormat="1" applyFont="1" applyFill="1" applyBorder="1"/>
    <xf numFmtId="0" fontId="3" fillId="3" borderId="0" xfId="0" applyFont="1" applyFill="1"/>
    <xf numFmtId="165" fontId="0" fillId="3" borderId="0" xfId="2" applyNumberFormat="1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8" fillId="3" borderId="1" xfId="0" applyFont="1" applyFill="1" applyBorder="1"/>
    <xf numFmtId="166" fontId="2" fillId="3" borderId="1" xfId="3" applyNumberFormat="1" applyFont="1" applyFill="1" applyBorder="1"/>
    <xf numFmtId="166" fontId="0" fillId="3" borderId="1" xfId="3" quotePrefix="1" applyNumberFormat="1" applyFont="1" applyFill="1" applyBorder="1"/>
    <xf numFmtId="167" fontId="0" fillId="3" borderId="0" xfId="0" applyNumberFormat="1" applyFill="1"/>
    <xf numFmtId="167" fontId="0" fillId="3" borderId="9" xfId="0" applyNumberFormat="1" applyFill="1" applyBorder="1"/>
    <xf numFmtId="0" fontId="0" fillId="3" borderId="9" xfId="0" applyFill="1" applyBorder="1"/>
    <xf numFmtId="0" fontId="28" fillId="3" borderId="2" xfId="0" applyFont="1" applyFill="1" applyBorder="1"/>
    <xf numFmtId="166" fontId="0" fillId="3" borderId="2" xfId="3" applyNumberFormat="1" applyFont="1" applyFill="1" applyBorder="1"/>
    <xf numFmtId="166" fontId="2" fillId="3" borderId="2" xfId="3" applyNumberFormat="1" applyFont="1" applyFill="1" applyBorder="1"/>
    <xf numFmtId="0" fontId="28" fillId="3" borderId="3" xfId="0" applyFont="1" applyFill="1" applyBorder="1"/>
    <xf numFmtId="166" fontId="1" fillId="3" borderId="0" xfId="0" applyNumberFormat="1" applyFont="1" applyFill="1"/>
    <xf numFmtId="0" fontId="14" fillId="3" borderId="1" xfId="0" applyFont="1" applyFill="1" applyBorder="1"/>
    <xf numFmtId="0" fontId="0" fillId="3" borderId="0" xfId="0" applyFill="1" applyAlignment="1">
      <alignment vertical="top"/>
    </xf>
    <xf numFmtId="0" fontId="0" fillId="2" borderId="20" xfId="0" applyFill="1" applyBorder="1"/>
    <xf numFmtId="0" fontId="3" fillId="2" borderId="19" xfId="0" applyFont="1" applyFill="1" applyBorder="1"/>
    <xf numFmtId="166" fontId="3" fillId="2" borderId="20" xfId="3" applyNumberFormat="1" applyFont="1" applyFill="1" applyBorder="1"/>
    <xf numFmtId="166" fontId="3" fillId="2" borderId="20" xfId="0" applyNumberFormat="1" applyFont="1" applyFill="1" applyBorder="1"/>
    <xf numFmtId="166" fontId="15" fillId="2" borderId="10" xfId="0" applyNumberFormat="1" applyFont="1" applyFill="1" applyBorder="1"/>
    <xf numFmtId="166" fontId="3" fillId="3" borderId="15" xfId="0" applyNumberFormat="1" applyFont="1" applyFill="1" applyBorder="1"/>
    <xf numFmtId="166" fontId="3" fillId="3" borderId="15" xfId="3" applyNumberFormat="1" applyFont="1" applyFill="1" applyBorder="1"/>
    <xf numFmtId="166" fontId="2" fillId="3" borderId="16" xfId="3" applyNumberFormat="1" applyFont="1" applyFill="1" applyBorder="1"/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6" fontId="0" fillId="2" borderId="22" xfId="3" applyNumberFormat="1" applyFont="1" applyFill="1" applyBorder="1"/>
    <xf numFmtId="166" fontId="0" fillId="3" borderId="23" xfId="3" applyNumberFormat="1" applyFont="1" applyFill="1" applyBorder="1"/>
    <xf numFmtId="166" fontId="0" fillId="3" borderId="4" xfId="3" applyNumberFormat="1" applyFont="1" applyFill="1" applyBorder="1"/>
    <xf numFmtId="166" fontId="0" fillId="3" borderId="0" xfId="3" applyNumberFormat="1" applyFont="1" applyFill="1" applyAlignment="1">
      <alignment vertical="top"/>
    </xf>
    <xf numFmtId="0" fontId="3" fillId="2" borderId="11" xfId="0" applyFont="1" applyFill="1" applyBorder="1" applyAlignment="1">
      <alignment horizontal="center"/>
    </xf>
    <xf numFmtId="0" fontId="0" fillId="2" borderId="13" xfId="0" applyFill="1" applyBorder="1"/>
    <xf numFmtId="166" fontId="0" fillId="3" borderId="28" xfId="3" applyNumberFormat="1" applyFont="1" applyFill="1" applyBorder="1"/>
    <xf numFmtId="166" fontId="1" fillId="2" borderId="19" xfId="3" applyNumberFormat="1" applyFont="1" applyFill="1" applyBorder="1" applyAlignment="1">
      <alignment horizontal="right"/>
    </xf>
    <xf numFmtId="166" fontId="10" fillId="3" borderId="0" xfId="5" quotePrefix="1" applyNumberFormat="1" applyFill="1"/>
    <xf numFmtId="0" fontId="7" fillId="3" borderId="0" xfId="0" quotePrefix="1" applyFont="1" applyFill="1"/>
    <xf numFmtId="0" fontId="4" fillId="3" borderId="0" xfId="0" quotePrefix="1" applyFont="1" applyFill="1" applyAlignment="1">
      <alignment horizontal="right"/>
    </xf>
    <xf numFmtId="0" fontId="0" fillId="3" borderId="0" xfId="0" quotePrefix="1" applyFill="1" applyAlignment="1">
      <alignment horizontal="right"/>
    </xf>
    <xf numFmtId="0" fontId="35" fillId="3" borderId="0" xfId="0" applyFont="1" applyFill="1"/>
    <xf numFmtId="0" fontId="35" fillId="3" borderId="0" xfId="0" applyFont="1" applyFill="1" applyAlignment="1">
      <alignment horizontal="left"/>
    </xf>
    <xf numFmtId="0" fontId="16" fillId="3" borderId="16" xfId="0" applyFont="1" applyFill="1" applyBorder="1"/>
    <xf numFmtId="6" fontId="0" fillId="3" borderId="15" xfId="0" applyNumberFormat="1" applyFill="1" applyBorder="1"/>
    <xf numFmtId="6" fontId="0" fillId="2" borderId="20" xfId="0" applyNumberFormat="1" applyFill="1" applyBorder="1"/>
    <xf numFmtId="0" fontId="5" fillId="2" borderId="11" xfId="0" applyFont="1" applyFill="1" applyBorder="1" applyAlignment="1">
      <alignment horizontal="right"/>
    </xf>
    <xf numFmtId="166" fontId="3" fillId="2" borderId="12" xfId="0" applyNumberFormat="1" applyFont="1" applyFill="1" applyBorder="1"/>
    <xf numFmtId="166" fontId="3" fillId="2" borderId="17" xfId="3" applyNumberFormat="1" applyFont="1" applyFill="1" applyBorder="1"/>
    <xf numFmtId="0" fontId="28" fillId="3" borderId="1" xfId="0" quotePrefix="1" applyFont="1" applyFill="1" applyBorder="1"/>
    <xf numFmtId="0" fontId="0" fillId="0" borderId="15" xfId="0" applyBorder="1"/>
    <xf numFmtId="166" fontId="3" fillId="3" borderId="15" xfId="3" applyNumberFormat="1" applyFont="1" applyFill="1" applyBorder="1" applyAlignment="1">
      <alignment horizontal="right"/>
    </xf>
    <xf numFmtId="166" fontId="0" fillId="3" borderId="15" xfId="3" applyNumberFormat="1" applyFont="1" applyFill="1" applyBorder="1" applyAlignment="1">
      <alignment horizontal="right"/>
    </xf>
    <xf numFmtId="0" fontId="0" fillId="3" borderId="30" xfId="0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166" fontId="15" fillId="2" borderId="26" xfId="0" applyNumberFormat="1" applyFont="1" applyFill="1" applyBorder="1"/>
    <xf numFmtId="166" fontId="15" fillId="2" borderId="27" xfId="0" applyNumberFormat="1" applyFont="1" applyFill="1" applyBorder="1"/>
    <xf numFmtId="166" fontId="15" fillId="2" borderId="13" xfId="0" applyNumberFormat="1" applyFont="1" applyFill="1" applyBorder="1"/>
    <xf numFmtId="166" fontId="36" fillId="2" borderId="29" xfId="0" applyNumberFormat="1" applyFont="1" applyFill="1" applyBorder="1"/>
    <xf numFmtId="166" fontId="15" fillId="2" borderId="21" xfId="3" applyNumberFormat="1" applyFont="1" applyFill="1" applyBorder="1"/>
    <xf numFmtId="166" fontId="15" fillId="2" borderId="14" xfId="0" applyNumberFormat="1" applyFont="1" applyFill="1" applyBorder="1"/>
    <xf numFmtId="166" fontId="15" fillId="2" borderId="18" xfId="3" applyNumberFormat="1" applyFont="1" applyFill="1" applyBorder="1"/>
    <xf numFmtId="0" fontId="0" fillId="3" borderId="31" xfId="0" applyFill="1" applyBorder="1"/>
    <xf numFmtId="166" fontId="0" fillId="3" borderId="32" xfId="0" applyNumberFormat="1" applyFill="1" applyBorder="1"/>
    <xf numFmtId="164" fontId="0" fillId="3" borderId="31" xfId="1" applyNumberFormat="1" applyFont="1" applyFill="1" applyBorder="1"/>
    <xf numFmtId="0" fontId="4" fillId="0" borderId="0" xfId="0" applyFont="1"/>
    <xf numFmtId="166" fontId="0" fillId="0" borderId="0" xfId="0" applyNumberFormat="1"/>
    <xf numFmtId="166" fontId="3" fillId="0" borderId="0" xfId="3" applyNumberFormat="1" applyFont="1" applyAlignment="1">
      <alignment horizontal="center"/>
    </xf>
    <xf numFmtId="166" fontId="37" fillId="0" borderId="0" xfId="3" applyNumberFormat="1" applyFont="1"/>
    <xf numFmtId="0" fontId="0" fillId="3" borderId="0" xfId="0" applyFill="1" applyAlignment="1">
      <alignment horizontal="center" wrapText="1"/>
    </xf>
    <xf numFmtId="9" fontId="38" fillId="3" borderId="15" xfId="2" applyFont="1" applyFill="1" applyBorder="1" applyAlignment="1">
      <alignment horizontal="center"/>
    </xf>
    <xf numFmtId="9" fontId="38" fillId="3" borderId="16" xfId="2" quotePrefix="1" applyFont="1" applyFill="1" applyBorder="1" applyAlignment="1">
      <alignment horizontal="center"/>
    </xf>
    <xf numFmtId="166" fontId="39" fillId="3" borderId="0" xfId="3" applyNumberFormat="1" applyFont="1" applyFill="1" applyBorder="1" applyAlignment="1"/>
    <xf numFmtId="9" fontId="13" fillId="3" borderId="15" xfId="2" applyFont="1" applyFill="1" applyBorder="1" applyAlignment="1">
      <alignment horizontal="center"/>
    </xf>
    <xf numFmtId="9" fontId="13" fillId="3" borderId="16" xfId="2" quotePrefix="1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9" fontId="38" fillId="3" borderId="16" xfId="2" applyFont="1" applyFill="1" applyBorder="1" applyAlignment="1">
      <alignment horizontal="center"/>
    </xf>
    <xf numFmtId="166" fontId="3" fillId="3" borderId="34" xfId="3" applyNumberFormat="1" applyFont="1" applyFill="1" applyBorder="1"/>
    <xf numFmtId="0" fontId="24" fillId="0" borderId="0" xfId="0" applyFont="1" applyAlignment="1">
      <alignment horizontal="center" wrapText="1"/>
    </xf>
    <xf numFmtId="0" fontId="24" fillId="3" borderId="34" xfId="0" applyFont="1" applyFill="1" applyBorder="1" applyAlignment="1">
      <alignment horizontal="left" wrapText="1"/>
    </xf>
    <xf numFmtId="0" fontId="10" fillId="3" borderId="0" xfId="5" applyFill="1" applyBorder="1"/>
    <xf numFmtId="0" fontId="8" fillId="3" borderId="0" xfId="0" quotePrefix="1" applyFont="1" applyFill="1"/>
    <xf numFmtId="0" fontId="8" fillId="3" borderId="0" xfId="0" applyFont="1" applyFill="1"/>
    <xf numFmtId="0" fontId="41" fillId="3" borderId="0" xfId="5" applyFont="1" applyFill="1"/>
    <xf numFmtId="0" fontId="41" fillId="3" borderId="0" xfId="5" applyFont="1" applyFill="1" applyBorder="1"/>
    <xf numFmtId="166" fontId="8" fillId="3" borderId="0" xfId="3" applyNumberFormat="1" applyFont="1" applyFill="1"/>
    <xf numFmtId="166" fontId="0" fillId="3" borderId="16" xfId="3" applyNumberFormat="1" applyFont="1" applyFill="1" applyBorder="1" applyAlignment="1">
      <alignment horizontal="right"/>
    </xf>
    <xf numFmtId="0" fontId="40" fillId="3" borderId="33" xfId="0" applyFont="1" applyFill="1" applyBorder="1"/>
    <xf numFmtId="166" fontId="0" fillId="3" borderId="33" xfId="3" applyNumberFormat="1" applyFont="1" applyFill="1" applyBorder="1"/>
    <xf numFmtId="0" fontId="0" fillId="3" borderId="35" xfId="0" applyFill="1" applyBorder="1"/>
    <xf numFmtId="166" fontId="0" fillId="3" borderId="35" xfId="3" applyNumberFormat="1" applyFont="1" applyFill="1" applyBorder="1" applyAlignment="1">
      <alignment horizontal="right"/>
    </xf>
    <xf numFmtId="166" fontId="3" fillId="2" borderId="36" xfId="3" applyNumberFormat="1" applyFont="1" applyFill="1" applyBorder="1"/>
    <xf numFmtId="166" fontId="3" fillId="2" borderId="37" xfId="3" applyNumberFormat="1" applyFont="1" applyFill="1" applyBorder="1"/>
    <xf numFmtId="0" fontId="0" fillId="2" borderId="17" xfId="0" applyFill="1" applyBorder="1"/>
    <xf numFmtId="166" fontId="0" fillId="2" borderId="46" xfId="3" applyNumberFormat="1" applyFont="1" applyFill="1" applyBorder="1"/>
    <xf numFmtId="166" fontId="0" fillId="2" borderId="45" xfId="3" applyNumberFormat="1" applyFont="1" applyFill="1" applyBorder="1"/>
    <xf numFmtId="166" fontId="0" fillId="2" borderId="18" xfId="3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0" fillId="0" borderId="9" xfId="0" applyBorder="1"/>
    <xf numFmtId="166" fontId="0" fillId="0" borderId="9" xfId="3" applyNumberFormat="1" applyFont="1" applyBorder="1"/>
    <xf numFmtId="166" fontId="0" fillId="0" borderId="9" xfId="0" applyNumberFormat="1" applyBorder="1"/>
    <xf numFmtId="166" fontId="15" fillId="2" borderId="9" xfId="3" applyNumberFormat="1" applyFont="1" applyFill="1" applyBorder="1"/>
    <xf numFmtId="0" fontId="0" fillId="0" borderId="47" xfId="0" applyBorder="1"/>
    <xf numFmtId="166" fontId="0" fillId="0" borderId="47" xfId="3" applyNumberFormat="1" applyFont="1" applyBorder="1"/>
    <xf numFmtId="166" fontId="0" fillId="0" borderId="47" xfId="0" applyNumberFormat="1" applyBorder="1"/>
    <xf numFmtId="166" fontId="15" fillId="2" borderId="47" xfId="3" applyNumberFormat="1" applyFont="1" applyFill="1" applyBorder="1"/>
    <xf numFmtId="9" fontId="0" fillId="3" borderId="0" xfId="2" applyFont="1" applyFill="1"/>
    <xf numFmtId="10" fontId="0" fillId="3" borderId="0" xfId="0" applyNumberFormat="1" applyFill="1"/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166" fontId="16" fillId="2" borderId="14" xfId="3" applyNumberFormat="1" applyFont="1" applyFill="1" applyBorder="1"/>
    <xf numFmtId="166" fontId="16" fillId="2" borderId="22" xfId="3" applyNumberFormat="1" applyFont="1" applyFill="1" applyBorder="1"/>
    <xf numFmtId="0" fontId="3" fillId="0" borderId="0" xfId="0" applyFont="1"/>
    <xf numFmtId="164" fontId="0" fillId="0" borderId="0" xfId="1" applyNumberFormat="1" applyFont="1"/>
    <xf numFmtId="0" fontId="8" fillId="0" borderId="0" xfId="0" quotePrefix="1" applyFont="1"/>
    <xf numFmtId="165" fontId="0" fillId="0" borderId="0" xfId="2" applyNumberFormat="1" applyFont="1"/>
    <xf numFmtId="0" fontId="5" fillId="0" borderId="0" xfId="0" applyFont="1" applyAlignment="1">
      <alignment horizontal="right"/>
    </xf>
    <xf numFmtId="164" fontId="3" fillId="0" borderId="0" xfId="1" applyNumberFormat="1" applyFont="1"/>
    <xf numFmtId="164" fontId="0" fillId="0" borderId="0" xfId="0" applyNumberFormat="1"/>
    <xf numFmtId="0" fontId="0" fillId="0" borderId="4" xfId="0" applyBorder="1"/>
    <xf numFmtId="0" fontId="0" fillId="0" borderId="0" xfId="0" quotePrefix="1"/>
    <xf numFmtId="0" fontId="3" fillId="4" borderId="0" xfId="0" applyFont="1" applyFill="1" applyAlignment="1">
      <alignment horizontal="center"/>
    </xf>
    <xf numFmtId="166" fontId="37" fillId="4" borderId="0" xfId="3" applyNumberFormat="1" applyFont="1" applyFill="1"/>
    <xf numFmtId="166" fontId="3" fillId="4" borderId="0" xfId="3" applyNumberFormat="1" applyFont="1" applyFill="1" applyAlignment="1">
      <alignment horizontal="center"/>
    </xf>
    <xf numFmtId="166" fontId="3" fillId="4" borderId="0" xfId="3" applyNumberFormat="1" applyFont="1" applyFill="1"/>
    <xf numFmtId="9" fontId="38" fillId="5" borderId="16" xfId="2" quotePrefix="1" applyFont="1" applyFill="1" applyBorder="1" applyAlignment="1">
      <alignment horizontal="center"/>
    </xf>
    <xf numFmtId="166" fontId="3" fillId="5" borderId="16" xfId="3" applyNumberFormat="1" applyFont="1" applyFill="1" applyBorder="1"/>
    <xf numFmtId="9" fontId="15" fillId="5" borderId="16" xfId="2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9" fontId="15" fillId="5" borderId="16" xfId="2" quotePrefix="1" applyFont="1" applyFill="1" applyBorder="1" applyAlignment="1">
      <alignment horizontal="center"/>
    </xf>
    <xf numFmtId="9" fontId="14" fillId="5" borderId="16" xfId="2" quotePrefix="1" applyFont="1" applyFill="1" applyBorder="1" applyAlignment="1">
      <alignment horizontal="center"/>
    </xf>
    <xf numFmtId="164" fontId="0" fillId="3" borderId="1" xfId="1" applyNumberFormat="1" applyFont="1" applyFill="1" applyBorder="1"/>
    <xf numFmtId="9" fontId="0" fillId="3" borderId="0" xfId="0" applyNumberFormat="1" applyFill="1"/>
    <xf numFmtId="0" fontId="3" fillId="5" borderId="16" xfId="0" applyFont="1" applyFill="1" applyBorder="1"/>
    <xf numFmtId="9" fontId="38" fillId="3" borderId="0" xfId="2" applyFont="1" applyFill="1" applyBorder="1" applyAlignment="1">
      <alignment horizontal="center"/>
    </xf>
    <xf numFmtId="9" fontId="38" fillId="3" borderId="0" xfId="2" quotePrefix="1" applyFont="1" applyFill="1" applyBorder="1" applyAlignment="1">
      <alignment horizontal="center"/>
    </xf>
    <xf numFmtId="9" fontId="13" fillId="3" borderId="0" xfId="2" quotePrefix="1" applyFont="1" applyFill="1" applyBorder="1" applyAlignment="1">
      <alignment horizontal="center"/>
    </xf>
    <xf numFmtId="0" fontId="0" fillId="5" borderId="39" xfId="0" applyFill="1" applyBorder="1"/>
    <xf numFmtId="166" fontId="3" fillId="5" borderId="40" xfId="3" applyNumberFormat="1" applyFont="1" applyFill="1" applyBorder="1"/>
    <xf numFmtId="166" fontId="3" fillId="5" borderId="41" xfId="3" applyNumberFormat="1" applyFont="1" applyFill="1" applyBorder="1"/>
    <xf numFmtId="0" fontId="3" fillId="5" borderId="48" xfId="0" applyFont="1" applyFill="1" applyBorder="1"/>
    <xf numFmtId="166" fontId="3" fillId="5" borderId="43" xfId="3" applyNumberFormat="1" applyFont="1" applyFill="1" applyBorder="1"/>
    <xf numFmtId="0" fontId="3" fillId="5" borderId="42" xfId="0" applyFont="1" applyFill="1" applyBorder="1"/>
    <xf numFmtId="166" fontId="3" fillId="5" borderId="44" xfId="3" applyNumberFormat="1" applyFont="1" applyFill="1" applyBorder="1" applyAlignment="1">
      <alignment horizontal="right"/>
    </xf>
    <xf numFmtId="0" fontId="42" fillId="5" borderId="38" xfId="0" applyFont="1" applyFill="1" applyBorder="1" applyAlignment="1">
      <alignment horizontal="center"/>
    </xf>
    <xf numFmtId="0" fontId="42" fillId="5" borderId="39" xfId="0" applyFont="1" applyFill="1" applyBorder="1" applyAlignment="1">
      <alignment horizontal="center"/>
    </xf>
    <xf numFmtId="0" fontId="42" fillId="5" borderId="39" xfId="0" quotePrefix="1" applyFont="1" applyFill="1" applyBorder="1" applyAlignment="1">
      <alignment horizontal="center"/>
    </xf>
    <xf numFmtId="166" fontId="15" fillId="5" borderId="50" xfId="3" applyNumberFormat="1" applyFont="1" applyFill="1" applyBorder="1"/>
    <xf numFmtId="9" fontId="0" fillId="3" borderId="0" xfId="2" applyFont="1" applyFill="1" applyBorder="1"/>
    <xf numFmtId="6" fontId="21" fillId="6" borderId="8" xfId="0" applyNumberFormat="1" applyFont="1" applyFill="1" applyBorder="1" applyAlignment="1">
      <alignment vertical="top" wrapText="1"/>
    </xf>
    <xf numFmtId="6" fontId="15" fillId="6" borderId="0" xfId="0" applyNumberFormat="1" applyFont="1" applyFill="1" applyAlignment="1">
      <alignment vertical="top" wrapText="1"/>
    </xf>
    <xf numFmtId="0" fontId="45" fillId="3" borderId="0" xfId="0" applyFont="1" applyFill="1"/>
    <xf numFmtId="166" fontId="46" fillId="5" borderId="49" xfId="3" applyNumberFormat="1" applyFont="1" applyFill="1" applyBorder="1" applyAlignment="1">
      <alignment horizontal="right"/>
    </xf>
    <xf numFmtId="0" fontId="47" fillId="3" borderId="0" xfId="0" applyFont="1" applyFill="1" applyAlignment="1">
      <alignment wrapText="1"/>
    </xf>
    <xf numFmtId="0" fontId="48" fillId="0" borderId="0" xfId="0" applyFont="1" applyAlignment="1">
      <alignment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 applyAlignment="1">
      <alignment vertical="top" wrapText="1"/>
    </xf>
    <xf numFmtId="0" fontId="8" fillId="3" borderId="2" xfId="0" applyFont="1" applyFill="1" applyBorder="1" applyAlignment="1">
      <alignment wrapText="1"/>
    </xf>
    <xf numFmtId="0" fontId="8" fillId="3" borderId="24" xfId="0" applyFont="1" applyFill="1" applyBorder="1" applyAlignment="1">
      <alignment wrapText="1"/>
    </xf>
    <xf numFmtId="0" fontId="8" fillId="3" borderId="25" xfId="0" applyFont="1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166" fontId="8" fillId="3" borderId="9" xfId="0" applyNumberFormat="1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4" fillId="3" borderId="33" xfId="0" applyFont="1" applyFill="1" applyBorder="1" applyAlignment="1">
      <alignment horizontal="center" wrapText="1"/>
    </xf>
    <xf numFmtId="0" fontId="24" fillId="0" borderId="33" xfId="0" applyFont="1" applyBorder="1" applyAlignment="1">
      <alignment horizontal="center" wrapText="1"/>
    </xf>
    <xf numFmtId="0" fontId="40" fillId="3" borderId="33" xfId="0" applyFont="1" applyFill="1" applyBorder="1" applyAlignment="1">
      <alignment horizontal="center" wrapText="1"/>
    </xf>
    <xf numFmtId="0" fontId="40" fillId="0" borderId="33" xfId="0" applyFont="1" applyBorder="1"/>
    <xf numFmtId="0" fontId="24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/>
    <xf numFmtId="0" fontId="24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/>
  </cellXfs>
  <cellStyles count="6">
    <cellStyle name="Comma" xfId="1" builtinId="3"/>
    <cellStyle name="Currency" xfId="3" builtinId="4"/>
    <cellStyle name="Hyperlink" xfId="5" builtinId="8"/>
    <cellStyle name="Normal" xfId="0" builtinId="0"/>
    <cellStyle name="Normal 2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33CC33"/>
      <color rgb="FF0000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433493</xdr:colOff>
      <xdr:row>37</xdr:row>
      <xdr:rowOff>154287</xdr:rowOff>
    </xdr:from>
    <xdr:to>
      <xdr:col>19</xdr:col>
      <xdr:colOff>145408</xdr:colOff>
      <xdr:row>50</xdr:row>
      <xdr:rowOff>94322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2C146-9CD5-CC51-A823-94D7B89E8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3560" y="7147754"/>
          <a:ext cx="4588715" cy="2513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618068</xdr:colOff>
      <xdr:row>16</xdr:row>
      <xdr:rowOff>100425</xdr:rowOff>
    </xdr:from>
    <xdr:to>
      <xdr:col>15</xdr:col>
      <xdr:colOff>536646</xdr:colOff>
      <xdr:row>30</xdr:row>
      <xdr:rowOff>109609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CCA342-6DBE-FE4D-28DB-9883C7D08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1" y="3292358"/>
          <a:ext cx="5167911" cy="28624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194732</xdr:colOff>
      <xdr:row>10</xdr:row>
      <xdr:rowOff>134356</xdr:rowOff>
    </xdr:from>
    <xdr:to>
      <xdr:col>19</xdr:col>
      <xdr:colOff>220839</xdr:colOff>
      <xdr:row>27</xdr:row>
      <xdr:rowOff>19019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159BB3-3F58-46D0-8731-F72E96606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4799" y="2064756"/>
          <a:ext cx="5656440" cy="3161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21</xdr:row>
      <xdr:rowOff>21582</xdr:rowOff>
    </xdr:from>
    <xdr:to>
      <xdr:col>4</xdr:col>
      <xdr:colOff>232838</xdr:colOff>
      <xdr:row>32</xdr:row>
      <xdr:rowOff>15239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46BDFC-BEF3-F992-F62B-EE841999B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1" y="4357362"/>
          <a:ext cx="3623737" cy="2005337"/>
        </a:xfrm>
        <a:prstGeom prst="rect">
          <a:avLst/>
        </a:prstGeom>
      </xdr:spPr>
    </xdr:pic>
    <xdr:clientData/>
  </xdr:twoCellAnchor>
  <xdr:twoCellAnchor editAs="oneCell">
    <xdr:from>
      <xdr:col>4</xdr:col>
      <xdr:colOff>451920</xdr:colOff>
      <xdr:row>20</xdr:row>
      <xdr:rowOff>152400</xdr:rowOff>
    </xdr:from>
    <xdr:to>
      <xdr:col>7</xdr:col>
      <xdr:colOff>915109</xdr:colOff>
      <xdr:row>32</xdr:row>
      <xdr:rowOff>68974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C45D91-7D45-3F0E-1C1A-6843E331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4260" y="4305300"/>
          <a:ext cx="3800749" cy="2111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135466</xdr:colOff>
      <xdr:row>33</xdr:row>
      <xdr:rowOff>124886</xdr:rowOff>
    </xdr:from>
    <xdr:to>
      <xdr:col>3</xdr:col>
      <xdr:colOff>417326</xdr:colOff>
      <xdr:row>48</xdr:row>
      <xdr:rowOff>16934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D5659-A4CB-AC57-3DC6-529D9C74A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466" y="6339419"/>
          <a:ext cx="4794593" cy="2686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rdwallet.com/calculator/compound-interest-calculato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ools.finra.org/fund_analyzer/" TargetMode="External"/><Relationship Id="rId1" Type="http://schemas.openxmlformats.org/officeDocument/2006/relationships/hyperlink" Target="https://www.bankrate.com/retirement/retirement-plan-calculator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dmunds.com/tco.html" TargetMode="External"/><Relationship Id="rId2" Type="http://schemas.openxmlformats.org/officeDocument/2006/relationships/hyperlink" Target="https://www.nerdwallet.com/article/loans/auto-loans/7-lease-vs-buy-questions-right" TargetMode="External"/><Relationship Id="rId1" Type="http://schemas.openxmlformats.org/officeDocument/2006/relationships/hyperlink" Target="https://www.nerdwallet.com/article/loans/auto-loans/average-monthly-car-payment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www.nj.com/personal-finance/article/how-much-are-utilities-per-month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zillow.com/homedetails/16-11-Jordan-Rd-1X-Fair-Lawn-NJ-07410/37896592_zpid/" TargetMode="External"/><Relationship Id="rId1" Type="http://schemas.openxmlformats.org/officeDocument/2006/relationships/hyperlink" Target="https://www.zillow.com/homedetails/21-15-Exeter-Pl-1X-Fair-Lawn-NJ-07410/52896997_zpid/" TargetMode="External"/><Relationship Id="rId6" Type="http://schemas.openxmlformats.org/officeDocument/2006/relationships/hyperlink" Target="https://www.bankrate.com/real-estate/new-house-calculator/" TargetMode="External"/><Relationship Id="rId5" Type="http://schemas.openxmlformats.org/officeDocument/2006/relationships/hyperlink" Target="https://www.nerdwallet.com/mortgages/how-much-house-can-i-afford/calculate-affordability" TargetMode="External"/><Relationship Id="rId4" Type="http://schemas.openxmlformats.org/officeDocument/2006/relationships/hyperlink" Target="https://www.bankrate.com/mortgages/mortgage-calculator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pi.org/resources/budg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ducationdata.org/average-cost-of-colleg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ninejournal.com/cost-of-owning-a-dog/" TargetMode="External"/><Relationship Id="rId2" Type="http://schemas.openxmlformats.org/officeDocument/2006/relationships/hyperlink" Target="https://pettable.com/blog/cost-of-owning-a-dog" TargetMode="External"/><Relationship Id="rId1" Type="http://schemas.openxmlformats.org/officeDocument/2006/relationships/hyperlink" Target="https://www.kiplinger.com/personal-finance/604284/the-financial-implications-of-fluffy-costs-of-becoming-a-pet-owner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s://www.rover.com/blog/cost-of-dog-parenth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BD27-4ADC-4374-8175-3AE0FFB0D5F8}">
  <sheetPr>
    <tabColor rgb="FFFFC000"/>
    <pageSetUpPr fitToPage="1"/>
  </sheetPr>
  <dimension ref="A1:W40"/>
  <sheetViews>
    <sheetView tabSelected="1" zoomScale="90" zoomScaleNormal="90" workbookViewId="0">
      <selection activeCell="B11" sqref="B11"/>
    </sheetView>
  </sheetViews>
  <sheetFormatPr defaultRowHeight="14.4"/>
  <cols>
    <col min="1" max="1" width="4.5546875" customWidth="1"/>
    <col min="2" max="2" width="19.5546875" customWidth="1"/>
    <col min="3" max="3" width="19.21875" hidden="1" customWidth="1"/>
    <col min="4" max="4" width="42.33203125" customWidth="1"/>
    <col min="5" max="5" width="20.6640625" hidden="1" customWidth="1"/>
    <col min="6" max="6" width="16.44140625" customWidth="1"/>
    <col min="7" max="7" width="9.5546875" bestFit="1" customWidth="1"/>
    <col min="10" max="10" width="9.5546875" bestFit="1" customWidth="1"/>
    <col min="11" max="11" width="47.77734375" customWidth="1"/>
    <col min="12" max="12" width="0.5546875" customWidth="1"/>
    <col min="13" max="13" width="12.77734375" customWidth="1"/>
    <col min="14" max="14" width="12.21875" bestFit="1" customWidth="1"/>
    <col min="15" max="16" width="15.77734375" customWidth="1"/>
    <col min="17" max="17" width="22.21875" bestFit="1" customWidth="1"/>
    <col min="20" max="20" width="13.33203125" bestFit="1" customWidth="1"/>
  </cols>
  <sheetData>
    <row r="1" spans="1:23" ht="21">
      <c r="A1" s="22" t="s">
        <v>147</v>
      </c>
      <c r="B1" s="23"/>
      <c r="C1" s="25"/>
      <c r="D1" s="25"/>
      <c r="E1" s="25"/>
      <c r="F1" s="266" t="s">
        <v>215</v>
      </c>
      <c r="G1" s="267"/>
      <c r="H1" s="267"/>
      <c r="I1" s="267"/>
      <c r="J1" s="267"/>
      <c r="K1" s="267"/>
      <c r="L1" s="267"/>
      <c r="M1" s="267"/>
      <c r="N1" s="25"/>
      <c r="O1" s="25"/>
      <c r="P1" s="25"/>
      <c r="Q1" s="25"/>
      <c r="R1" s="25"/>
      <c r="S1" s="25"/>
    </row>
    <row r="2" spans="1:23" ht="18">
      <c r="A2" s="26" t="s">
        <v>127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3" ht="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3" ht="18" customHeight="1">
      <c r="A4" s="114" t="s">
        <v>145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23" ht="18" customHeight="1">
      <c r="A5" s="114" t="s">
        <v>146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3" ht="6.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23" ht="15" thickBot="1">
      <c r="A7" s="25"/>
      <c r="B7" s="25"/>
      <c r="C7" s="25"/>
      <c r="D7" s="50" t="s">
        <v>129</v>
      </c>
      <c r="E7" s="25"/>
      <c r="F7" s="115">
        <v>6.5000000000000002E-2</v>
      </c>
      <c r="G7" s="25"/>
      <c r="H7" s="25"/>
      <c r="I7" s="25"/>
      <c r="J7" s="25"/>
      <c r="K7" s="25"/>
      <c r="L7" s="25"/>
      <c r="M7" s="25"/>
      <c r="N7" s="25"/>
      <c r="O7" s="25" t="s">
        <v>254</v>
      </c>
      <c r="P7" s="25"/>
      <c r="Q7" s="25"/>
      <c r="R7" s="25"/>
      <c r="S7" s="25"/>
    </row>
    <row r="8" spans="1:23" ht="15" thickTop="1">
      <c r="A8" s="63"/>
      <c r="B8" s="63"/>
      <c r="C8" s="116" t="s">
        <v>49</v>
      </c>
      <c r="D8" s="117" t="s">
        <v>217</v>
      </c>
      <c r="E8" s="39" t="s">
        <v>50</v>
      </c>
      <c r="F8" s="146" t="s">
        <v>183</v>
      </c>
      <c r="G8" s="268" t="s">
        <v>218</v>
      </c>
      <c r="H8" s="269"/>
      <c r="I8" s="269"/>
      <c r="J8" s="269"/>
      <c r="K8" s="269"/>
      <c r="L8" s="25"/>
      <c r="M8" s="25"/>
      <c r="N8" s="25"/>
      <c r="O8" s="152" t="s">
        <v>252</v>
      </c>
      <c r="P8" s="152" t="s">
        <v>253</v>
      </c>
      <c r="Q8" s="25"/>
      <c r="R8" s="25"/>
      <c r="S8" s="25"/>
      <c r="T8" s="4">
        <v>175000</v>
      </c>
    </row>
    <row r="9" spans="1:23" ht="3.6" customHeight="1" thickBot="1">
      <c r="A9" s="45"/>
      <c r="B9" s="45"/>
      <c r="C9" s="45"/>
      <c r="D9" s="118"/>
      <c r="E9" s="118"/>
      <c r="F9" s="147"/>
      <c r="G9" s="45"/>
      <c r="H9" s="45"/>
      <c r="I9" s="45"/>
      <c r="J9" s="45"/>
      <c r="K9" s="45"/>
      <c r="L9" s="25"/>
      <c r="M9" s="25"/>
      <c r="N9" s="25"/>
      <c r="O9" s="25"/>
      <c r="P9" s="25"/>
      <c r="Q9" s="25"/>
      <c r="R9" s="25"/>
      <c r="S9" s="25"/>
    </row>
    <row r="10" spans="1:23" ht="31.95" customHeight="1">
      <c r="A10" s="119" t="s">
        <v>255</v>
      </c>
      <c r="B10" s="119"/>
      <c r="C10" s="92">
        <f>(175000*0.15*30)</f>
        <v>787500</v>
      </c>
      <c r="D10" s="92" t="s">
        <v>250</v>
      </c>
      <c r="E10" s="92">
        <f>(175000*0.05*30)</f>
        <v>262500</v>
      </c>
      <c r="F10" s="168">
        <f>P11-O11</f>
        <v>2557483</v>
      </c>
      <c r="G10" s="272" t="s">
        <v>249</v>
      </c>
      <c r="H10" s="272"/>
      <c r="I10" s="272"/>
      <c r="J10" s="272"/>
      <c r="K10" s="272"/>
      <c r="L10" s="25"/>
      <c r="M10" s="177"/>
      <c r="N10" s="25"/>
      <c r="O10" s="244">
        <f>(185000*0.1)/12</f>
        <v>1541.6666666666667</v>
      </c>
      <c r="P10" s="244">
        <f>(185000*0.25)/12</f>
        <v>3854.1666666666665</v>
      </c>
      <c r="Q10" s="25"/>
      <c r="R10" s="25"/>
      <c r="S10" s="25"/>
      <c r="T10" s="4">
        <f>($T$8*0.15)/12</f>
        <v>2187.5</v>
      </c>
      <c r="U10" s="4">
        <f>($T$8*0.05)/12</f>
        <v>729.16666666666663</v>
      </c>
      <c r="V10" s="179">
        <f>T10-U10</f>
        <v>1458.3333333333335</v>
      </c>
      <c r="W10" t="s">
        <v>211</v>
      </c>
    </row>
    <row r="11" spans="1:23" ht="31.95" customHeight="1">
      <c r="A11" s="119"/>
      <c r="B11" s="162" t="s">
        <v>192</v>
      </c>
      <c r="C11" s="92">
        <f>'1. Retire'!C38*'1. Retire'!C44</f>
        <v>6450</v>
      </c>
      <c r="D11" s="92" t="s">
        <v>182</v>
      </c>
      <c r="E11" s="120">
        <f>'1. Retire'!C38*'1. Retire'!D44</f>
        <v>150</v>
      </c>
      <c r="F11" s="168">
        <f>'1. Retire'!F45</f>
        <v>544162</v>
      </c>
      <c r="G11" s="273" t="s">
        <v>179</v>
      </c>
      <c r="H11" s="274"/>
      <c r="I11" s="274"/>
      <c r="J11" s="274"/>
      <c r="K11" s="274"/>
      <c r="L11" s="124"/>
      <c r="M11" s="176">
        <f>SUM(F10:F11)</f>
        <v>3101645</v>
      </c>
      <c r="N11" s="25"/>
      <c r="O11" s="62">
        <v>1705727</v>
      </c>
      <c r="P11" s="62">
        <v>4263210</v>
      </c>
      <c r="Q11" s="25"/>
      <c r="R11" s="25"/>
      <c r="S11" s="25"/>
    </row>
    <row r="12" spans="1:23" ht="31.95" customHeight="1">
      <c r="A12" s="125" t="s">
        <v>256</v>
      </c>
      <c r="B12" s="125"/>
      <c r="C12" s="126">
        <v>68107</v>
      </c>
      <c r="D12" s="126" t="s">
        <v>190</v>
      </c>
      <c r="E12" s="127">
        <v>44678</v>
      </c>
      <c r="F12" s="169">
        <f>'2. Vehicle'!E9</f>
        <v>410481</v>
      </c>
      <c r="G12" s="279" t="s">
        <v>191</v>
      </c>
      <c r="H12" s="280"/>
      <c r="I12" s="280"/>
      <c r="J12" s="280"/>
      <c r="K12" s="280"/>
      <c r="L12" s="25"/>
      <c r="M12" s="34"/>
      <c r="N12" s="25"/>
      <c r="O12" s="25"/>
      <c r="P12" s="25"/>
      <c r="Q12" s="25"/>
      <c r="R12" s="25"/>
      <c r="S12" s="25"/>
    </row>
    <row r="13" spans="1:23" ht="31.95" customHeight="1">
      <c r="A13" s="125" t="s">
        <v>257</v>
      </c>
      <c r="B13" s="125"/>
      <c r="C13" s="127">
        <v>1234797</v>
      </c>
      <c r="D13" s="126" t="s">
        <v>216</v>
      </c>
      <c r="E13" s="127">
        <v>846537</v>
      </c>
      <c r="F13" s="168">
        <f>'3. Housing'!I9</f>
        <v>540310</v>
      </c>
      <c r="G13" s="279" t="s">
        <v>73</v>
      </c>
      <c r="H13" s="280"/>
      <c r="I13" s="280"/>
      <c r="J13" s="280"/>
      <c r="K13" s="280"/>
      <c r="L13" s="25"/>
      <c r="M13" s="34"/>
      <c r="N13" s="25"/>
      <c r="O13" s="25"/>
      <c r="P13" s="25"/>
      <c r="Q13" s="25"/>
      <c r="R13" s="25"/>
      <c r="S13" s="25"/>
    </row>
    <row r="14" spans="1:23" ht="31.95" customHeight="1">
      <c r="A14" s="119" t="s">
        <v>258</v>
      </c>
      <c r="B14" s="119"/>
      <c r="C14" s="92">
        <v>2959565</v>
      </c>
      <c r="D14" s="121" t="s">
        <v>209</v>
      </c>
      <c r="E14" s="120">
        <v>2476557</v>
      </c>
      <c r="F14" s="168">
        <f>'4. Raising a child'!I12</f>
        <v>699280</v>
      </c>
      <c r="G14" s="271" t="s">
        <v>125</v>
      </c>
      <c r="H14" s="271"/>
      <c r="I14" s="271"/>
      <c r="J14" s="271"/>
      <c r="K14" s="271"/>
      <c r="L14" s="122"/>
      <c r="M14" s="175"/>
      <c r="N14" s="25"/>
      <c r="O14" s="25"/>
      <c r="P14" s="25"/>
      <c r="Q14" s="115"/>
      <c r="R14" s="25"/>
      <c r="S14" s="25"/>
    </row>
    <row r="15" spans="1:23" ht="31.95" customHeight="1">
      <c r="A15" s="119"/>
      <c r="B15" s="162" t="s">
        <v>193</v>
      </c>
      <c r="C15" s="92"/>
      <c r="D15" s="121" t="s">
        <v>181</v>
      </c>
      <c r="E15" s="120"/>
      <c r="F15" s="168">
        <v>688608</v>
      </c>
      <c r="G15" s="277" t="s">
        <v>128</v>
      </c>
      <c r="H15" s="278"/>
      <c r="I15" s="278"/>
      <c r="J15" s="278"/>
      <c r="K15" s="278"/>
      <c r="L15" s="123"/>
      <c r="M15" s="176">
        <f>SUM(F14:F15)</f>
        <v>1387888</v>
      </c>
      <c r="N15" s="25"/>
      <c r="O15" s="25"/>
      <c r="P15" s="25"/>
      <c r="Q15" s="115"/>
      <c r="R15" s="25"/>
      <c r="S15" s="25"/>
    </row>
    <row r="16" spans="1:23" ht="31.95" customHeight="1" thickBot="1">
      <c r="A16" s="128" t="s">
        <v>259</v>
      </c>
      <c r="B16" s="128"/>
      <c r="C16" s="144">
        <v>223360</v>
      </c>
      <c r="D16" s="148" t="s">
        <v>180</v>
      </c>
      <c r="E16" s="144">
        <v>104108</v>
      </c>
      <c r="F16" s="170">
        <f>'5. College'!D12</f>
        <v>420202</v>
      </c>
      <c r="G16" s="275" t="s">
        <v>126</v>
      </c>
      <c r="H16" s="276"/>
      <c r="I16" s="276"/>
      <c r="J16" s="276"/>
      <c r="K16" s="276"/>
      <c r="L16" s="122"/>
      <c r="M16" s="25"/>
      <c r="N16" s="25"/>
      <c r="O16" s="25"/>
      <c r="P16" s="25"/>
      <c r="Q16" s="220"/>
      <c r="R16" s="25"/>
      <c r="S16" s="25"/>
    </row>
    <row r="17" spans="1:19" ht="22.2" customHeight="1" thickTop="1" thickBot="1">
      <c r="A17" s="25"/>
      <c r="B17" s="25"/>
      <c r="C17" s="62">
        <f>SUM(C10:C16)</f>
        <v>5279779</v>
      </c>
      <c r="D17" s="149" t="s">
        <v>133</v>
      </c>
      <c r="E17" s="129">
        <f>SUM(E10:E16)</f>
        <v>3734530</v>
      </c>
      <c r="F17" s="171">
        <f>SUM(F10:F16)</f>
        <v>5860526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19"/>
      <c r="R17" s="25"/>
      <c r="S17" s="25"/>
    </row>
    <row r="18" spans="1:19" ht="15.6" customHeight="1" thickTop="1">
      <c r="A18" s="36"/>
      <c r="B18" s="13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 ht="34.200000000000003" customHeight="1">
      <c r="A19" s="131">
        <v>1</v>
      </c>
      <c r="B19" s="270" t="s">
        <v>251</v>
      </c>
      <c r="C19" s="270"/>
      <c r="D19" s="270"/>
      <c r="E19" s="270"/>
      <c r="F19" s="270"/>
      <c r="G19" s="131"/>
      <c r="H19" s="131"/>
      <c r="I19" s="131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 ht="1.2" customHeight="1">
      <c r="A20" s="131"/>
      <c r="B20" s="131"/>
      <c r="C20" s="131"/>
      <c r="D20" s="131"/>
      <c r="E20" s="131"/>
      <c r="F20" s="131"/>
      <c r="G20" s="131"/>
      <c r="H20" s="131"/>
      <c r="I20" s="131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>
      <c r="A21" s="131">
        <v>2</v>
      </c>
      <c r="B21" s="131" t="s">
        <v>194</v>
      </c>
      <c r="C21" s="131"/>
      <c r="D21" s="131"/>
      <c r="E21" s="131"/>
      <c r="F21" s="131"/>
      <c r="G21" s="131"/>
      <c r="H21" s="131"/>
      <c r="I21" s="131"/>
      <c r="J21" s="25"/>
      <c r="K21" s="25"/>
      <c r="L21" s="25"/>
      <c r="M21" s="52"/>
      <c r="N21" s="25"/>
      <c r="O21" s="25"/>
      <c r="P21" s="25"/>
      <c r="Q21" s="25"/>
      <c r="R21" s="25"/>
      <c r="S21" s="25"/>
    </row>
    <row r="22" spans="1:19" ht="1.2" customHeight="1">
      <c r="A22" s="131"/>
      <c r="B22" s="131"/>
      <c r="C22" s="131"/>
      <c r="D22" s="131"/>
      <c r="E22" s="131"/>
      <c r="F22" s="131"/>
      <c r="G22" s="131"/>
      <c r="H22" s="131"/>
      <c r="I22" s="131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ht="19.2" customHeight="1">
      <c r="A23" s="131">
        <v>3</v>
      </c>
      <c r="B23" s="131" t="s">
        <v>70</v>
      </c>
      <c r="C23" s="131"/>
      <c r="D23" s="131"/>
      <c r="E23" s="131"/>
      <c r="F23" s="131"/>
      <c r="G23" s="131"/>
      <c r="H23" s="131"/>
      <c r="I23" s="131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ht="1.2" customHeight="1">
      <c r="A24" s="131"/>
      <c r="B24" s="131"/>
      <c r="C24" s="131"/>
      <c r="D24" s="131"/>
      <c r="E24" s="131"/>
      <c r="F24" s="131"/>
      <c r="G24" s="131"/>
      <c r="H24" s="131"/>
      <c r="I24" s="131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>
      <c r="A25" s="131">
        <v>4</v>
      </c>
      <c r="B25" s="131" t="s">
        <v>144</v>
      </c>
      <c r="C25" s="131"/>
      <c r="D25" s="131"/>
      <c r="E25" s="131"/>
      <c r="F25" s="131"/>
      <c r="G25" s="131"/>
      <c r="H25" s="131"/>
      <c r="I25" s="131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 ht="1.2" customHeight="1">
      <c r="A26" s="131"/>
      <c r="B26" s="131"/>
      <c r="C26" s="145"/>
      <c r="D26" s="131"/>
      <c r="E26" s="131"/>
      <c r="F26" s="131"/>
      <c r="G26" s="131"/>
      <c r="H26" s="131"/>
      <c r="I26" s="131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31.8" customHeight="1">
      <c r="A27" s="131">
        <v>5</v>
      </c>
      <c r="B27" s="270" t="s">
        <v>124</v>
      </c>
      <c r="C27" s="270"/>
      <c r="D27" s="270"/>
      <c r="E27" s="270"/>
      <c r="F27" s="270"/>
      <c r="G27" s="131"/>
      <c r="H27" s="131"/>
      <c r="I27" s="131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>
      <c r="A28" s="131"/>
      <c r="B28" s="131"/>
      <c r="C28" s="131"/>
      <c r="D28" s="131"/>
      <c r="E28" s="145"/>
      <c r="F28" s="131"/>
      <c r="G28" s="131"/>
      <c r="H28" s="131"/>
      <c r="I28" s="131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>
      <c r="A29" s="25"/>
      <c r="B29" s="25" t="s">
        <v>178</v>
      </c>
      <c r="C29" s="25"/>
      <c r="D29" s="3" t="s">
        <v>14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>
      <c r="A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>
      <c r="A33" s="25"/>
      <c r="B33" s="29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19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</sheetData>
  <mergeCells count="11">
    <mergeCell ref="F1:M1"/>
    <mergeCell ref="G8:K8"/>
    <mergeCell ref="B27:F27"/>
    <mergeCell ref="B19:F19"/>
    <mergeCell ref="G14:K14"/>
    <mergeCell ref="G10:K10"/>
    <mergeCell ref="G11:K11"/>
    <mergeCell ref="G16:K16"/>
    <mergeCell ref="G15:K15"/>
    <mergeCell ref="G12:K12"/>
    <mergeCell ref="G13:K13"/>
  </mergeCells>
  <hyperlinks>
    <hyperlink ref="D29" r:id="rId1" xr:uid="{32FC13C0-63CB-4E9B-BCCA-7549DF8EB5A5}"/>
  </hyperlinks>
  <pageMargins left="0.25" right="0.25" top="0.75" bottom="0.75" header="0.3" footer="0.3"/>
  <pageSetup scale="74" orientation="landscape" horizontalDpi="0" verticalDpi="0" r:id="rId2"/>
  <headerFooter>
    <oddFooter>&amp;LDIYmoneytrack.com - Copyrighted Material&amp;R&amp;P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6" tint="-0.499984740745262"/>
    <pageSetUpPr fitToPage="1"/>
  </sheetPr>
  <dimension ref="A1:AI79"/>
  <sheetViews>
    <sheetView zoomScale="90" zoomScaleNormal="90" workbookViewId="0">
      <selection activeCell="D9" sqref="D9"/>
    </sheetView>
  </sheetViews>
  <sheetFormatPr defaultRowHeight="14.4"/>
  <cols>
    <col min="1" max="1" width="2" customWidth="1"/>
    <col min="2" max="2" width="22.109375" customWidth="1"/>
    <col min="3" max="3" width="18" customWidth="1"/>
    <col min="4" max="4" width="16.44140625" customWidth="1"/>
    <col min="5" max="5" width="19.88671875" customWidth="1"/>
    <col min="6" max="6" width="18" customWidth="1"/>
    <col min="7" max="7" width="17.5546875" customWidth="1"/>
    <col min="8" max="8" width="0.88671875" customWidth="1"/>
    <col min="9" max="9" width="16" customWidth="1"/>
    <col min="10" max="10" width="16.33203125" customWidth="1"/>
    <col min="11" max="11" width="2.5546875" customWidth="1"/>
  </cols>
  <sheetData>
    <row r="1" spans="1:21" ht="21">
      <c r="A1" s="22" t="s">
        <v>147</v>
      </c>
      <c r="B1" s="23"/>
      <c r="C1" s="23"/>
      <c r="D1" s="285" t="s">
        <v>215</v>
      </c>
      <c r="E1" s="286"/>
      <c r="F1" s="286"/>
      <c r="G1" s="286"/>
      <c r="H1" s="286"/>
      <c r="I1" s="286"/>
      <c r="J1" s="286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18">
      <c r="A2" s="26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2.6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8">
      <c r="A4" s="154" t="s">
        <v>121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3.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18" customHeight="1">
      <c r="A6" s="25"/>
      <c r="B6" s="78" t="s">
        <v>44</v>
      </c>
      <c r="C6" s="79">
        <v>30</v>
      </c>
      <c r="D6" s="80"/>
      <c r="E6" s="81"/>
      <c r="F6" s="81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18" customHeight="1">
      <c r="A7" s="25"/>
      <c r="B7" s="82" t="s">
        <v>122</v>
      </c>
      <c r="C7" s="83">
        <v>185000</v>
      </c>
      <c r="D7" s="185" t="s">
        <v>248</v>
      </c>
      <c r="E7" s="81"/>
      <c r="F7" s="81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ht="28.8" customHeight="1">
      <c r="A8" s="25"/>
      <c r="B8" s="82" t="s">
        <v>132</v>
      </c>
      <c r="C8" s="83">
        <v>95</v>
      </c>
      <c r="D8" s="84"/>
      <c r="E8" s="81"/>
      <c r="F8" s="81"/>
      <c r="G8" s="25"/>
      <c r="H8" s="25"/>
      <c r="I8" s="182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ht="29.4" thickBot="1">
      <c r="A9" s="45"/>
      <c r="B9" s="85" t="s">
        <v>131</v>
      </c>
      <c r="C9" s="86">
        <v>700000</v>
      </c>
      <c r="D9" s="84"/>
      <c r="E9" s="25"/>
      <c r="F9" s="81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12" customHeight="1">
      <c r="A10" s="25"/>
      <c r="B10" s="87"/>
      <c r="C10" s="88"/>
      <c r="D10" s="88"/>
      <c r="E10" s="81"/>
      <c r="F10" s="81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13.2" customHeight="1" thickBot="1">
      <c r="A11" s="25"/>
      <c r="B11" s="87"/>
      <c r="C11" s="88"/>
      <c r="D11" s="88"/>
      <c r="E11" s="81"/>
      <c r="F11" s="281" t="s">
        <v>207</v>
      </c>
      <c r="G11" s="282"/>
      <c r="H11" s="191"/>
      <c r="I11" s="283" t="s">
        <v>206</v>
      </c>
      <c r="J11" s="28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ht="29.4" thickTop="1">
      <c r="B12" s="36" t="s">
        <v>8</v>
      </c>
      <c r="C12" s="188" t="s">
        <v>19</v>
      </c>
      <c r="D12" s="188" t="s">
        <v>130</v>
      </c>
      <c r="E12" s="188" t="s">
        <v>137</v>
      </c>
      <c r="F12" s="188" t="s">
        <v>20</v>
      </c>
      <c r="G12" s="188" t="s">
        <v>134</v>
      </c>
      <c r="H12" s="188"/>
      <c r="I12" s="188" t="s">
        <v>20</v>
      </c>
      <c r="J12" s="188" t="s">
        <v>134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ht="4.8" customHeight="1">
      <c r="A13" s="25"/>
      <c r="B13" s="25"/>
      <c r="C13" s="81"/>
      <c r="D13" s="25"/>
      <c r="E13" s="81"/>
      <c r="F13" s="182"/>
      <c r="G13" s="182"/>
      <c r="H13" s="182"/>
      <c r="I13" s="182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>
      <c r="A14" s="25"/>
      <c r="B14" s="100" t="s">
        <v>135</v>
      </c>
      <c r="C14" s="140">
        <v>45</v>
      </c>
      <c r="D14" s="183">
        <v>0.8</v>
      </c>
      <c r="E14" s="101">
        <v>284530</v>
      </c>
      <c r="F14" s="138">
        <v>8978549</v>
      </c>
      <c r="G14" s="183">
        <v>0.72</v>
      </c>
      <c r="H14" s="183"/>
      <c r="I14" s="138">
        <v>11127542</v>
      </c>
      <c r="J14" s="186">
        <v>0.96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>
      <c r="A15" s="25"/>
      <c r="B15" s="102" t="s">
        <v>136</v>
      </c>
      <c r="C15" s="141">
        <v>40</v>
      </c>
      <c r="D15" s="189">
        <v>0.8</v>
      </c>
      <c r="E15" s="103">
        <v>337933</v>
      </c>
      <c r="F15" s="106">
        <v>9300060</v>
      </c>
      <c r="G15" s="184">
        <v>0.39</v>
      </c>
      <c r="H15" s="184"/>
      <c r="I15" s="106">
        <v>11953631</v>
      </c>
      <c r="J15" s="187">
        <v>0.56999999999999995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>
      <c r="A16" s="25"/>
      <c r="B16" s="246" t="s">
        <v>260</v>
      </c>
      <c r="C16" s="241">
        <v>38</v>
      </c>
      <c r="D16" s="240">
        <v>0.5</v>
      </c>
      <c r="E16" s="239">
        <v>226251</v>
      </c>
      <c r="F16" s="239">
        <v>4775842</v>
      </c>
      <c r="G16" s="242">
        <v>0.04</v>
      </c>
      <c r="H16" s="238"/>
      <c r="I16" s="239">
        <v>7618621</v>
      </c>
      <c r="J16" s="243">
        <v>0.2</v>
      </c>
      <c r="K16" s="25"/>
      <c r="L16" s="245"/>
      <c r="M16" s="25"/>
      <c r="N16" s="25"/>
      <c r="O16" s="25"/>
      <c r="P16" s="25"/>
      <c r="Q16" s="25"/>
      <c r="R16" s="25"/>
      <c r="S16" s="25"/>
      <c r="T16" s="25"/>
      <c r="U16" s="25"/>
    </row>
    <row r="17" spans="1:21">
      <c r="A17" s="25"/>
      <c r="B17" s="102" t="s">
        <v>9</v>
      </c>
      <c r="C17" s="141">
        <v>35</v>
      </c>
      <c r="D17" s="189">
        <v>0.8</v>
      </c>
      <c r="E17" s="103">
        <v>401358</v>
      </c>
      <c r="F17" s="106">
        <v>9401226</v>
      </c>
      <c r="G17" s="184">
        <v>0.19</v>
      </c>
      <c r="H17" s="184"/>
      <c r="I17" s="106">
        <v>12658987</v>
      </c>
      <c r="J17" s="187">
        <v>0.33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>
      <c r="A18" s="25"/>
      <c r="B18" s="25"/>
      <c r="C18" s="39"/>
      <c r="D18" s="247"/>
      <c r="E18" s="261"/>
      <c r="F18" s="93"/>
      <c r="G18" s="248"/>
      <c r="H18" s="248"/>
      <c r="I18" s="93"/>
      <c r="J18" s="249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>
      <c r="A19" s="25"/>
      <c r="B19" s="25"/>
      <c r="C19" s="25"/>
      <c r="D19" s="25"/>
      <c r="E19" s="25"/>
      <c r="F19" s="25"/>
      <c r="G19" s="257" t="s">
        <v>264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 ht="18">
      <c r="A20" s="154" t="s">
        <v>140</v>
      </c>
      <c r="B20" s="25"/>
      <c r="C20" s="25"/>
      <c r="D20" s="25"/>
      <c r="E20" s="25"/>
      <c r="F20" s="25"/>
      <c r="G20" s="258" t="s">
        <v>210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>
      <c r="A21" s="25" t="s">
        <v>262</v>
      </c>
      <c r="B21" s="25"/>
      <c r="C21" s="25"/>
      <c r="D21" s="25"/>
      <c r="E21" s="25"/>
      <c r="F21" s="25"/>
      <c r="G21" s="259" t="s">
        <v>263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6" customHeight="1" thickBot="1">
      <c r="A22" s="25"/>
      <c r="B22" s="25"/>
      <c r="C22" s="25"/>
      <c r="D22" s="25"/>
      <c r="E22" s="25"/>
      <c r="F22" s="25"/>
      <c r="G22" s="250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18" customHeight="1" thickTop="1" thickBot="1">
      <c r="A23" s="25"/>
      <c r="B23" s="55" t="s">
        <v>138</v>
      </c>
      <c r="C23" s="89">
        <v>250000</v>
      </c>
      <c r="D23" s="89">
        <v>500000</v>
      </c>
      <c r="E23" s="204">
        <v>700000</v>
      </c>
      <c r="F23" s="53" t="s">
        <v>212</v>
      </c>
      <c r="G23" s="251">
        <v>700000</v>
      </c>
      <c r="H23" s="93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ht="18" customHeight="1" thickBot="1">
      <c r="A24" s="25"/>
      <c r="B24" s="192" t="s">
        <v>205</v>
      </c>
      <c r="C24" s="190"/>
      <c r="D24" s="190"/>
      <c r="E24" s="205"/>
      <c r="F24" s="25"/>
      <c r="G24" s="252"/>
      <c r="H24" s="93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ht="18" customHeight="1" thickTop="1">
      <c r="A25" s="25"/>
      <c r="B25" s="100" t="s">
        <v>139</v>
      </c>
      <c r="C25" s="100">
        <v>88</v>
      </c>
      <c r="D25" s="100">
        <v>95</v>
      </c>
      <c r="E25" s="206">
        <v>101</v>
      </c>
      <c r="F25" s="25"/>
      <c r="G25" s="253">
        <v>135</v>
      </c>
      <c r="H25" s="25"/>
      <c r="I25" s="25"/>
      <c r="J25" s="93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8" customHeight="1">
      <c r="A26" s="25"/>
      <c r="B26" s="25" t="s">
        <v>261</v>
      </c>
      <c r="C26" s="94">
        <v>7595994</v>
      </c>
      <c r="D26" s="94">
        <v>9374558</v>
      </c>
      <c r="E26" s="99">
        <v>10797409</v>
      </c>
      <c r="F26" s="25"/>
      <c r="G26" s="260">
        <v>8506990</v>
      </c>
      <c r="H26" s="25"/>
      <c r="I26" s="25"/>
      <c r="J26" s="93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ht="18" customHeight="1" thickBot="1">
      <c r="A27" s="25"/>
      <c r="B27" s="202" t="s">
        <v>141</v>
      </c>
      <c r="C27" s="203" t="s">
        <v>142</v>
      </c>
      <c r="D27" s="203">
        <v>0</v>
      </c>
      <c r="E27" s="207">
        <v>5238305</v>
      </c>
      <c r="F27" s="25"/>
      <c r="G27" s="265">
        <v>16876010</v>
      </c>
      <c r="H27" s="9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18" customHeight="1" thickBot="1">
      <c r="A28" s="25"/>
      <c r="B28" s="200" t="s">
        <v>206</v>
      </c>
      <c r="C28" s="201"/>
      <c r="D28" s="201"/>
      <c r="E28" s="208"/>
      <c r="F28" s="25"/>
      <c r="G28" s="254"/>
      <c r="H28" s="9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ht="18" customHeight="1" thickTop="1">
      <c r="A29" s="25"/>
      <c r="B29" s="100" t="s">
        <v>139</v>
      </c>
      <c r="C29" s="100">
        <v>80</v>
      </c>
      <c r="D29" s="100">
        <v>85</v>
      </c>
      <c r="E29" s="206">
        <v>89</v>
      </c>
      <c r="F29" s="25"/>
      <c r="G29" s="255">
        <v>100</v>
      </c>
      <c r="H29" s="9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18" customHeight="1" thickBot="1">
      <c r="A30" s="25"/>
      <c r="B30" s="102" t="s">
        <v>141</v>
      </c>
      <c r="C30" s="199" t="s">
        <v>142</v>
      </c>
      <c r="D30" s="199" t="s">
        <v>142</v>
      </c>
      <c r="E30" s="209" t="s">
        <v>142</v>
      </c>
      <c r="F30" s="25"/>
      <c r="G30" s="256">
        <v>3478702</v>
      </c>
      <c r="H30" s="9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ht="15" customHeight="1" thickTop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>
      <c r="A32" s="36" t="s">
        <v>11</v>
      </c>
      <c r="B32" s="3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>
      <c r="A33" s="195"/>
      <c r="B33" s="196" t="s">
        <v>12</v>
      </c>
      <c r="C33" s="196"/>
      <c r="D33" s="29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>
      <c r="A34" s="194" t="s">
        <v>176</v>
      </c>
      <c r="B34" s="195" t="s">
        <v>208</v>
      </c>
      <c r="C34" s="197"/>
      <c r="D34" s="193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 ht="18">
      <c r="A36" s="154" t="s">
        <v>120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spans="1:21" ht="8.4" customHeight="1">
      <c r="A37" s="9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 ht="18" customHeight="1">
      <c r="A38" s="25"/>
      <c r="B38" s="25" t="s">
        <v>123</v>
      </c>
      <c r="C38" s="62">
        <v>500000</v>
      </c>
      <c r="D38" s="5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ht="18" customHeight="1">
      <c r="A39" s="25"/>
      <c r="B39" s="36" t="s">
        <v>166</v>
      </c>
      <c r="C39" s="59" t="s">
        <v>168</v>
      </c>
      <c r="D39" s="92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1" ht="8.4" customHeight="1">
      <c r="A40" s="25"/>
      <c r="B40" s="25"/>
      <c r="C40" s="93"/>
      <c r="D40" s="94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ht="16.2" thickBot="1">
      <c r="A41" s="25"/>
      <c r="B41" s="85"/>
      <c r="C41" s="96" t="s">
        <v>164</v>
      </c>
      <c r="D41" s="96" t="s">
        <v>165</v>
      </c>
      <c r="E41" s="96" t="s">
        <v>15</v>
      </c>
      <c r="F41" s="96" t="s">
        <v>91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 ht="7.2" customHeight="1">
      <c r="A42" s="25"/>
      <c r="B42" s="87"/>
      <c r="C42" s="80"/>
      <c r="D42" s="80"/>
      <c r="E42" s="80"/>
      <c r="F42" s="80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 ht="18" customHeight="1">
      <c r="A43" s="25"/>
      <c r="B43" s="87" t="s">
        <v>167</v>
      </c>
      <c r="C43" s="80" t="s">
        <v>169</v>
      </c>
      <c r="D43" s="80" t="s">
        <v>219</v>
      </c>
      <c r="E43" s="80"/>
      <c r="F43" s="80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 ht="18" customHeight="1" thickBot="1">
      <c r="A44" s="25"/>
      <c r="B44" s="61" t="s">
        <v>143</v>
      </c>
      <c r="C44" s="90">
        <v>1.29E-2</v>
      </c>
      <c r="D44" s="90">
        <v>2.9999999999999997E-4</v>
      </c>
      <c r="E44" s="95">
        <f>C44-D44</f>
        <v>1.26E-2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ht="18" customHeight="1" thickTop="1" thickBot="1">
      <c r="A45" s="25"/>
      <c r="B45" s="110" t="s">
        <v>59</v>
      </c>
      <c r="C45" s="111">
        <f>'1. Retire'!$C$38*C44</f>
        <v>6450</v>
      </c>
      <c r="D45" s="111">
        <f>'1. Retire'!$C$38*D44</f>
        <v>150</v>
      </c>
      <c r="E45" s="112">
        <f>C45-D45</f>
        <v>6300</v>
      </c>
      <c r="F45" s="172">
        <v>544162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ht="18" customHeight="1" thickTop="1">
      <c r="A46" s="36"/>
      <c r="B46" s="36"/>
      <c r="C46" s="52"/>
      <c r="D46" s="52"/>
      <c r="E46" s="52"/>
      <c r="F46" s="34"/>
      <c r="G46" s="62"/>
      <c r="H46" s="62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ht="18" customHeight="1">
      <c r="A47" s="195"/>
      <c r="B47" s="195" t="s">
        <v>172</v>
      </c>
      <c r="C47" s="198"/>
      <c r="D47" s="198"/>
      <c r="E47" s="198"/>
      <c r="F47" s="34"/>
      <c r="G47" s="62"/>
      <c r="H47" s="62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</row>
    <row r="48" spans="1:21" ht="15" customHeight="1">
      <c r="A48" s="195"/>
      <c r="B48" s="195" t="s">
        <v>173</v>
      </c>
      <c r="C48" s="198"/>
      <c r="D48" s="198"/>
      <c r="E48" s="198"/>
      <c r="F48" s="34"/>
      <c r="G48" s="62"/>
      <c r="H48" s="62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35">
      <c r="A49" s="195"/>
      <c r="B49" s="195" t="s">
        <v>170</v>
      </c>
      <c r="C49" s="195"/>
      <c r="D49" s="195"/>
      <c r="E49" s="19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  <row r="50" spans="1:35">
      <c r="A50" s="195"/>
      <c r="B50" s="196" t="s">
        <v>171</v>
      </c>
      <c r="C50" s="195"/>
      <c r="D50" s="195"/>
      <c r="E50" s="19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1: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>
      <c r="A78" s="25"/>
    </row>
    <row r="79" spans="1:35">
      <c r="A79" s="25"/>
    </row>
  </sheetData>
  <mergeCells count="3">
    <mergeCell ref="F11:G11"/>
    <mergeCell ref="I11:J11"/>
    <mergeCell ref="D1:J1"/>
  </mergeCells>
  <hyperlinks>
    <hyperlink ref="B33" r:id="rId1" xr:uid="{44DF457B-D3CD-4DDD-B622-73F1B88D6C73}"/>
    <hyperlink ref="B50" r:id="rId2" xr:uid="{1E76491C-48B7-456D-8EE0-6EEC0F5D14E3}"/>
  </hyperlinks>
  <pageMargins left="0.25" right="0.25" top="0.25" bottom="0.25" header="0.3" footer="0.05"/>
  <pageSetup scale="74" orientation="landscape" horizontalDpi="0" verticalDpi="0" r:id="rId3"/>
  <headerFooter>
    <oddFooter>&amp;LDIYmoneytrack.com - Copyrighted Material&amp;R&amp;P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  <pageSetUpPr fitToPage="1"/>
  </sheetPr>
  <dimension ref="A1:Q124"/>
  <sheetViews>
    <sheetView topLeftCell="A19" zoomScale="90" zoomScaleNormal="90" workbookViewId="0">
      <selection activeCell="D9" sqref="D9"/>
    </sheetView>
  </sheetViews>
  <sheetFormatPr defaultRowHeight="14.4"/>
  <cols>
    <col min="1" max="1" width="3.21875" customWidth="1"/>
    <col min="2" max="2" width="39.6640625" customWidth="1"/>
    <col min="3" max="3" width="19.88671875" customWidth="1"/>
    <col min="4" max="4" width="19.6640625" customWidth="1"/>
    <col min="5" max="5" width="19.21875" customWidth="1"/>
    <col min="6" max="6" width="15.77734375" customWidth="1"/>
    <col min="7" max="7" width="9.21875" customWidth="1"/>
    <col min="8" max="8" width="11.109375" customWidth="1"/>
    <col min="9" max="9" width="12.109375" customWidth="1"/>
  </cols>
  <sheetData>
    <row r="1" spans="1:17" ht="21">
      <c r="A1" s="22" t="s">
        <v>147</v>
      </c>
      <c r="B1" s="23"/>
      <c r="C1" s="25"/>
      <c r="D1" s="289" t="s">
        <v>215</v>
      </c>
      <c r="E1" s="290"/>
      <c r="F1" s="290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0.399999999999999" customHeight="1">
      <c r="A2" s="26" t="s">
        <v>6</v>
      </c>
      <c r="B2" s="25"/>
      <c r="C2" s="25"/>
      <c r="D2" s="290"/>
      <c r="E2" s="290"/>
      <c r="F2" s="290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18.60000000000000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8">
      <c r="A4" s="155" t="s">
        <v>149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15" thickBot="1">
      <c r="A5" s="58" t="s">
        <v>153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6.2" customHeight="1" thickTop="1">
      <c r="A6" s="25"/>
      <c r="B6" s="25"/>
      <c r="C6" s="30" t="s">
        <v>115</v>
      </c>
      <c r="D6" s="30" t="s">
        <v>84</v>
      </c>
      <c r="E6" s="159" t="s">
        <v>119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18" customHeight="1">
      <c r="A7" s="25"/>
      <c r="B7" s="100" t="s">
        <v>187</v>
      </c>
      <c r="C7" s="104">
        <f>E27</f>
        <v>289312</v>
      </c>
      <c r="D7" s="100"/>
      <c r="E7" s="160">
        <f>SUM(C7:D7)</f>
        <v>289312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ht="18" customHeight="1">
      <c r="A8" s="25"/>
      <c r="B8" s="102" t="s">
        <v>116</v>
      </c>
      <c r="C8" s="102"/>
      <c r="D8" s="105">
        <f>F39</f>
        <v>121169</v>
      </c>
      <c r="E8" s="161">
        <f>SUM(C8:D8)</f>
        <v>121169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ht="18" customHeight="1" thickBot="1">
      <c r="A9" s="25"/>
      <c r="B9" s="25"/>
      <c r="C9" s="25"/>
      <c r="D9" s="25"/>
      <c r="E9" s="173">
        <f>SUM(E7:E8)</f>
        <v>410481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ht="13.8" customHeight="1" thickTop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18">
      <c r="A11" s="155" t="s">
        <v>148</v>
      </c>
      <c r="B11" s="25"/>
      <c r="C11" s="50"/>
      <c r="D11" s="50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ht="7.2" customHeight="1">
      <c r="A12" s="60"/>
      <c r="B12" s="25"/>
      <c r="C12" s="50"/>
      <c r="D12" s="50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>
      <c r="A13" s="25"/>
      <c r="B13" s="25"/>
      <c r="C13" s="50" t="s">
        <v>85</v>
      </c>
      <c r="D13" s="50" t="s">
        <v>83</v>
      </c>
      <c r="E13" s="50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>
      <c r="A14" s="25"/>
      <c r="B14" s="25"/>
      <c r="C14" s="30" t="s">
        <v>86</v>
      </c>
      <c r="D14" s="152" t="s">
        <v>87</v>
      </c>
      <c r="E14" s="50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6.6" customHeight="1">
      <c r="A15" s="25"/>
      <c r="B15" s="25"/>
      <c r="C15" s="50"/>
      <c r="D15" s="153"/>
      <c r="E15" s="50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18" customHeight="1">
      <c r="A16" s="25"/>
      <c r="B16" s="100" t="s">
        <v>80</v>
      </c>
      <c r="C16" s="101">
        <v>726</v>
      </c>
      <c r="D16" s="104">
        <f>C16*12*5</f>
        <v>43560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18" customHeight="1">
      <c r="A17" s="25"/>
      <c r="B17" s="102" t="s">
        <v>81</v>
      </c>
      <c r="C17" s="103">
        <v>533</v>
      </c>
      <c r="D17" s="105">
        <f t="shared" ref="D17:D19" si="0">C17*12*5</f>
        <v>31980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18" customHeight="1">
      <c r="A18" s="25"/>
      <c r="B18" s="102" t="s">
        <v>82</v>
      </c>
      <c r="C18" s="103">
        <v>578</v>
      </c>
      <c r="D18" s="105">
        <f t="shared" si="0"/>
        <v>34680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18" customHeight="1">
      <c r="A19" s="25"/>
      <c r="B19" s="156" t="s">
        <v>186</v>
      </c>
      <c r="C19" s="103">
        <v>0</v>
      </c>
      <c r="D19" s="105">
        <f t="shared" si="0"/>
        <v>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10.8" customHeight="1">
      <c r="A20" s="25"/>
      <c r="B20" s="61"/>
      <c r="C20" s="94"/>
      <c r="D20" s="3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>
      <c r="A21" s="25"/>
      <c r="B21" s="25"/>
      <c r="C21" s="25"/>
      <c r="D21" s="30" t="s">
        <v>185</v>
      </c>
      <c r="E21" s="30" t="s">
        <v>91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9.6" customHeight="1">
      <c r="A22" s="25"/>
      <c r="B22" s="25"/>
      <c r="C22" s="25"/>
      <c r="D22" s="25"/>
      <c r="E22" s="3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18" customHeight="1">
      <c r="A23" s="25"/>
      <c r="B23" s="100" t="s">
        <v>88</v>
      </c>
      <c r="C23" s="100"/>
      <c r="D23" s="104">
        <f>D16-D17</f>
        <v>11580</v>
      </c>
      <c r="E23" s="101">
        <v>79769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18" customHeight="1">
      <c r="A24" s="25"/>
      <c r="B24" s="100" t="s">
        <v>89</v>
      </c>
      <c r="C24" s="100"/>
      <c r="D24" s="104">
        <f>D16-D18</f>
        <v>8880</v>
      </c>
      <c r="E24" s="101">
        <v>56751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18" customHeight="1">
      <c r="A25" s="25"/>
      <c r="B25" s="102" t="s">
        <v>90</v>
      </c>
      <c r="C25" s="102"/>
      <c r="D25" s="105">
        <f>D18-D17</f>
        <v>2700</v>
      </c>
      <c r="E25" s="103">
        <v>23018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18" customHeight="1" thickBot="1">
      <c r="A26" s="25"/>
      <c r="B26" s="100" t="s">
        <v>184</v>
      </c>
      <c r="C26" s="100"/>
      <c r="D26" s="104">
        <f>D17-D19</f>
        <v>31980</v>
      </c>
      <c r="E26" s="101">
        <v>209543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ht="18" customHeight="1" thickTop="1" thickBot="1">
      <c r="A27" s="25"/>
      <c r="B27" s="110" t="s">
        <v>184</v>
      </c>
      <c r="C27" s="132"/>
      <c r="D27" s="112">
        <f>D16-D19</f>
        <v>43560</v>
      </c>
      <c r="E27" s="113">
        <v>289312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ht="16.05" customHeight="1" thickTop="1">
      <c r="A28" s="36"/>
      <c r="B28" s="36"/>
      <c r="C28" s="25"/>
      <c r="D28" s="34"/>
      <c r="E28" s="52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ht="16.05" customHeight="1">
      <c r="A29" s="25" t="s">
        <v>220</v>
      </c>
      <c r="B29" s="25"/>
      <c r="C29" s="25"/>
      <c r="D29" s="34"/>
      <c r="E29" s="52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ht="16.05" customHeight="1">
      <c r="A30" s="29" t="s">
        <v>221</v>
      </c>
      <c r="B30" s="25"/>
      <c r="C30" s="25"/>
      <c r="D30" s="34"/>
      <c r="E30" s="52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ht="16.05" customHeight="1">
      <c r="A31" s="29" t="s">
        <v>222</v>
      </c>
      <c r="B31" s="29"/>
      <c r="C31" s="25"/>
      <c r="D31" s="34"/>
      <c r="E31" s="52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ht="16.2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ht="18">
      <c r="A33" s="155" t="s">
        <v>189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ht="18" customHeight="1">
      <c r="A35" s="25"/>
      <c r="B35" s="63" t="s">
        <v>92</v>
      </c>
      <c r="C35" s="30" t="s">
        <v>93</v>
      </c>
      <c r="D35" s="30" t="s">
        <v>150</v>
      </c>
      <c r="E35" s="30" t="s">
        <v>3</v>
      </c>
      <c r="F35" s="30" t="s">
        <v>188</v>
      </c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ht="18" customHeight="1">
      <c r="A36" s="25"/>
      <c r="B36" s="100" t="s">
        <v>16</v>
      </c>
      <c r="C36" s="157">
        <f>H59</f>
        <v>44678</v>
      </c>
      <c r="D36" s="138">
        <f>H60</f>
        <v>38692</v>
      </c>
      <c r="E36" s="100"/>
      <c r="F36" s="100"/>
      <c r="G36" s="54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ht="18" customHeight="1">
      <c r="A37" s="25"/>
      <c r="B37" s="102" t="s">
        <v>18</v>
      </c>
      <c r="C37" s="102"/>
      <c r="D37" s="103">
        <f>H76</f>
        <v>48419</v>
      </c>
      <c r="E37" s="105">
        <f>D37-D36</f>
        <v>9727</v>
      </c>
      <c r="F37" s="139">
        <v>64338</v>
      </c>
      <c r="G37" s="29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ht="18" customHeight="1" thickBot="1">
      <c r="A38" s="25"/>
      <c r="B38" s="25" t="s">
        <v>17</v>
      </c>
      <c r="C38" s="25"/>
      <c r="D38" s="52">
        <f>H91</f>
        <v>57476</v>
      </c>
      <c r="E38" s="34">
        <f>D38-D36</f>
        <v>18784</v>
      </c>
      <c r="F38" s="64">
        <v>124244</v>
      </c>
      <c r="G38" s="29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ht="18" customHeight="1" thickTop="1" thickBot="1">
      <c r="A39" s="25"/>
      <c r="B39" s="133" t="s">
        <v>117</v>
      </c>
      <c r="C39" s="158">
        <f>H105</f>
        <v>68107</v>
      </c>
      <c r="D39" s="134">
        <f>H106</f>
        <v>57011</v>
      </c>
      <c r="E39" s="135">
        <f>D39-D36</f>
        <v>18319</v>
      </c>
      <c r="F39" s="113">
        <v>121169</v>
      </c>
      <c r="G39" s="29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ht="15" thickTop="1">
      <c r="A40" s="36"/>
      <c r="B40" s="3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>
      <c r="A41" s="25" t="s">
        <v>152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>
      <c r="A42" s="25"/>
      <c r="B42" s="29" t="s">
        <v>223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>
      <c r="A43" s="25">
        <v>1</v>
      </c>
      <c r="B43" s="25" t="s">
        <v>151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ht="15" thickBot="1">
      <c r="A45" s="45"/>
      <c r="B45" s="45"/>
      <c r="C45" s="4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ht="17.399999999999999">
      <c r="A46" s="25"/>
      <c r="B46" s="65" t="s">
        <v>108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>
      <c r="A47" s="25"/>
      <c r="B47" s="25" t="s">
        <v>109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ht="22.8">
      <c r="A48" s="25"/>
      <c r="B48" s="66" t="s">
        <v>110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ht="15" thickBot="1">
      <c r="A49" s="25"/>
      <c r="B49" s="287" t="s">
        <v>108</v>
      </c>
      <c r="C49" s="288"/>
      <c r="D49" s="288"/>
      <c r="E49" s="288"/>
      <c r="F49" s="288"/>
      <c r="G49" s="288"/>
      <c r="H49" s="288"/>
      <c r="I49" s="25"/>
      <c r="J49" s="25"/>
      <c r="K49" s="25"/>
      <c r="L49" s="25"/>
      <c r="M49" s="25"/>
      <c r="N49" s="25"/>
      <c r="O49" s="25"/>
      <c r="P49" s="25"/>
      <c r="Q49" s="25"/>
    </row>
    <row r="50" spans="1:17" ht="15" thickBot="1">
      <c r="A50" s="25"/>
      <c r="B50" s="67"/>
      <c r="C50" s="68" t="s">
        <v>107</v>
      </c>
      <c r="D50" s="68" t="s">
        <v>94</v>
      </c>
      <c r="E50" s="68" t="s">
        <v>95</v>
      </c>
      <c r="F50" s="68" t="s">
        <v>96</v>
      </c>
      <c r="G50" s="68" t="s">
        <v>97</v>
      </c>
      <c r="H50" s="67" t="s">
        <v>1</v>
      </c>
      <c r="I50" s="25"/>
      <c r="J50" s="25"/>
      <c r="K50" s="25"/>
      <c r="L50" s="25"/>
      <c r="M50" s="25"/>
      <c r="N50" s="25"/>
      <c r="O50" s="25"/>
      <c r="P50" s="25"/>
      <c r="Q50" s="25"/>
    </row>
    <row r="51" spans="1:17">
      <c r="A51" s="25"/>
      <c r="B51" s="69" t="s">
        <v>98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  <c r="H51" s="71">
        <v>0</v>
      </c>
      <c r="I51" s="25"/>
      <c r="J51" s="25"/>
      <c r="K51" s="25"/>
      <c r="L51" s="25"/>
      <c r="M51" s="25"/>
      <c r="N51" s="25"/>
      <c r="O51" s="25"/>
      <c r="P51" s="25"/>
      <c r="Q51" s="25"/>
    </row>
    <row r="52" spans="1:17">
      <c r="A52" s="25"/>
      <c r="B52" s="69" t="s">
        <v>99</v>
      </c>
      <c r="C52" s="70">
        <v>1601</v>
      </c>
      <c r="D52" s="70">
        <v>1649</v>
      </c>
      <c r="E52" s="70">
        <v>1699</v>
      </c>
      <c r="F52" s="70">
        <v>1749</v>
      </c>
      <c r="G52" s="70">
        <v>1802</v>
      </c>
      <c r="H52" s="71">
        <v>8500</v>
      </c>
      <c r="I52" s="25"/>
      <c r="J52" s="25"/>
      <c r="K52" s="25"/>
      <c r="L52" s="25"/>
      <c r="M52" s="25"/>
      <c r="N52" s="25"/>
      <c r="O52" s="25"/>
      <c r="P52" s="25"/>
      <c r="Q52" s="25"/>
    </row>
    <row r="53" spans="1:17">
      <c r="A53" s="25"/>
      <c r="B53" s="69" t="s">
        <v>100</v>
      </c>
      <c r="C53" s="70">
        <v>306</v>
      </c>
      <c r="D53" s="70">
        <v>1656</v>
      </c>
      <c r="E53" s="70">
        <v>1154</v>
      </c>
      <c r="F53" s="70">
        <v>682</v>
      </c>
      <c r="G53" s="70">
        <v>1925</v>
      </c>
      <c r="H53" s="71">
        <v>5723</v>
      </c>
      <c r="I53" s="25"/>
      <c r="J53" s="25"/>
      <c r="K53" s="25"/>
      <c r="L53" s="25"/>
      <c r="M53" s="25"/>
      <c r="N53" s="25"/>
      <c r="O53" s="25"/>
      <c r="P53" s="25"/>
      <c r="Q53" s="25"/>
    </row>
    <row r="54" spans="1:17">
      <c r="A54" s="25"/>
      <c r="B54" s="69" t="s">
        <v>101</v>
      </c>
      <c r="C54" s="70">
        <v>202</v>
      </c>
      <c r="D54" s="70">
        <v>296</v>
      </c>
      <c r="E54" s="70">
        <v>345</v>
      </c>
      <c r="F54" s="70">
        <v>402</v>
      </c>
      <c r="G54" s="70">
        <v>469</v>
      </c>
      <c r="H54" s="71">
        <v>1714</v>
      </c>
      <c r="I54" s="25"/>
      <c r="J54" s="25"/>
      <c r="K54" s="25"/>
      <c r="L54" s="25"/>
      <c r="M54" s="25"/>
      <c r="N54" s="25"/>
      <c r="O54" s="25"/>
      <c r="P54" s="25"/>
      <c r="Q54" s="25"/>
    </row>
    <row r="55" spans="1:17">
      <c r="A55" s="25"/>
      <c r="B55" s="69" t="s">
        <v>102</v>
      </c>
      <c r="C55" s="70">
        <v>1798</v>
      </c>
      <c r="D55" s="70">
        <v>59</v>
      </c>
      <c r="E55" s="70">
        <v>47</v>
      </c>
      <c r="F55" s="70">
        <v>47</v>
      </c>
      <c r="G55" s="70">
        <v>47</v>
      </c>
      <c r="H55" s="71">
        <v>1998</v>
      </c>
      <c r="I55" s="25"/>
      <c r="J55" s="25"/>
      <c r="K55" s="25"/>
      <c r="L55" s="25"/>
      <c r="M55" s="25"/>
      <c r="N55" s="25"/>
      <c r="O55" s="25"/>
      <c r="P55" s="25"/>
      <c r="Q55" s="25"/>
    </row>
    <row r="56" spans="1:17">
      <c r="A56" s="25"/>
      <c r="B56" s="69" t="s">
        <v>103</v>
      </c>
      <c r="C56" s="70">
        <v>2031</v>
      </c>
      <c r="D56" s="70">
        <v>1651</v>
      </c>
      <c r="E56" s="70">
        <v>1236</v>
      </c>
      <c r="F56" s="70">
        <v>782</v>
      </c>
      <c r="G56" s="70">
        <v>286</v>
      </c>
      <c r="H56" s="71">
        <v>5986</v>
      </c>
      <c r="I56" s="25"/>
      <c r="J56" s="25"/>
      <c r="K56" s="25"/>
      <c r="L56" s="25"/>
      <c r="M56" s="25"/>
      <c r="N56" s="25"/>
      <c r="O56" s="25"/>
      <c r="P56" s="25"/>
      <c r="Q56" s="25"/>
    </row>
    <row r="57" spans="1:17">
      <c r="A57" s="25"/>
      <c r="B57" s="69" t="s">
        <v>104</v>
      </c>
      <c r="C57" s="70">
        <v>4498</v>
      </c>
      <c r="D57" s="70">
        <v>1162</v>
      </c>
      <c r="E57" s="70">
        <v>1687</v>
      </c>
      <c r="F57" s="70">
        <v>2084</v>
      </c>
      <c r="G57" s="70">
        <v>2008</v>
      </c>
      <c r="H57" s="71">
        <v>11439</v>
      </c>
      <c r="I57" s="25"/>
      <c r="J57" s="25"/>
      <c r="K57" s="25"/>
      <c r="L57" s="25"/>
      <c r="M57" s="25"/>
      <c r="N57" s="25"/>
      <c r="O57" s="25"/>
      <c r="P57" s="25"/>
      <c r="Q57" s="25"/>
    </row>
    <row r="58" spans="1:17" ht="15" thickBot="1">
      <c r="A58" s="25"/>
      <c r="B58" s="69" t="s">
        <v>105</v>
      </c>
      <c r="C58" s="70">
        <v>1755</v>
      </c>
      <c r="D58" s="70">
        <v>1808</v>
      </c>
      <c r="E58" s="70">
        <v>1862</v>
      </c>
      <c r="F58" s="70">
        <v>1918</v>
      </c>
      <c r="G58" s="70">
        <v>1975</v>
      </c>
      <c r="H58" s="71">
        <v>9318</v>
      </c>
      <c r="I58" s="25"/>
      <c r="J58" s="25"/>
      <c r="K58" s="25"/>
      <c r="L58" s="25"/>
      <c r="M58" s="25"/>
      <c r="N58" s="25"/>
      <c r="O58" s="25"/>
      <c r="P58" s="25"/>
      <c r="Q58" s="25"/>
    </row>
    <row r="59" spans="1:17" ht="15" thickBot="1">
      <c r="A59" s="25"/>
      <c r="B59" s="72" t="s">
        <v>106</v>
      </c>
      <c r="C59" s="73">
        <v>12191</v>
      </c>
      <c r="D59" s="73">
        <v>8281</v>
      </c>
      <c r="E59" s="73">
        <v>8030</v>
      </c>
      <c r="F59" s="73">
        <v>7664</v>
      </c>
      <c r="G59" s="73">
        <v>8512</v>
      </c>
      <c r="H59" s="262">
        <v>44678</v>
      </c>
      <c r="I59" s="25"/>
      <c r="J59" s="25"/>
      <c r="K59" s="25"/>
      <c r="L59" s="25"/>
      <c r="M59" s="25"/>
      <c r="N59" s="25"/>
      <c r="O59" s="25"/>
      <c r="P59" s="25"/>
      <c r="Q59" s="25"/>
    </row>
    <row r="60" spans="1:17">
      <c r="A60" s="25"/>
      <c r="B60" s="75" t="s">
        <v>114</v>
      </c>
      <c r="C60" s="76">
        <f>C59-C56</f>
        <v>10160</v>
      </c>
      <c r="D60" s="76">
        <f t="shared" ref="D60:G60" si="1">D59-D56</f>
        <v>6630</v>
      </c>
      <c r="E60" s="76">
        <f t="shared" si="1"/>
        <v>6794</v>
      </c>
      <c r="F60" s="76">
        <f t="shared" si="1"/>
        <v>6882</v>
      </c>
      <c r="G60" s="76">
        <f t="shared" si="1"/>
        <v>8226</v>
      </c>
      <c r="H60" s="263">
        <f>H59-H56</f>
        <v>38692</v>
      </c>
      <c r="I60" s="25"/>
      <c r="J60" s="25"/>
      <c r="K60" s="25"/>
      <c r="L60" s="25"/>
      <c r="M60" s="25"/>
      <c r="N60" s="25"/>
      <c r="O60" s="25"/>
      <c r="P60" s="25"/>
      <c r="Q60" s="25"/>
    </row>
    <row r="61" spans="1:17" ht="27.6">
      <c r="A61" s="25"/>
      <c r="B61" s="77" t="s">
        <v>111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7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>
      <c r="A63" s="25"/>
      <c r="B63" s="25" t="s">
        <v>109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7" ht="22.8">
      <c r="A64" s="25"/>
      <c r="B64" s="66" t="s">
        <v>112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7" ht="15" thickBot="1">
      <c r="A65" s="25"/>
      <c r="B65" s="287" t="s">
        <v>108</v>
      </c>
      <c r="C65" s="288"/>
      <c r="D65" s="288"/>
      <c r="E65" s="288"/>
      <c r="F65" s="288"/>
      <c r="G65" s="288"/>
      <c r="H65" s="288"/>
      <c r="I65" s="25"/>
      <c r="J65" s="25"/>
      <c r="K65" s="25"/>
      <c r="L65" s="25"/>
      <c r="M65" s="25"/>
      <c r="N65" s="25"/>
      <c r="O65" s="25"/>
      <c r="P65" s="25"/>
      <c r="Q65" s="25"/>
    </row>
    <row r="66" spans="1:17" ht="15" thickBot="1">
      <c r="A66" s="25"/>
      <c r="B66" s="67"/>
      <c r="C66" s="68" t="s">
        <v>107</v>
      </c>
      <c r="D66" s="68" t="s">
        <v>94</v>
      </c>
      <c r="E66" s="68" t="s">
        <v>95</v>
      </c>
      <c r="F66" s="68" t="s">
        <v>96</v>
      </c>
      <c r="G66" s="68" t="s">
        <v>97</v>
      </c>
      <c r="H66" s="67" t="s">
        <v>1</v>
      </c>
      <c r="I66" s="25"/>
      <c r="J66" s="25"/>
      <c r="K66" s="25"/>
      <c r="L66" s="25"/>
      <c r="M66" s="25"/>
      <c r="N66" s="25"/>
      <c r="O66" s="25"/>
      <c r="P66" s="25"/>
      <c r="Q66" s="25"/>
    </row>
    <row r="67" spans="1:17">
      <c r="A67" s="25"/>
      <c r="B67" s="69" t="s">
        <v>98</v>
      </c>
      <c r="C67" s="70">
        <v>0</v>
      </c>
      <c r="D67" s="70">
        <v>0</v>
      </c>
      <c r="E67" s="70">
        <v>0</v>
      </c>
      <c r="F67" s="70">
        <v>0</v>
      </c>
      <c r="G67" s="70">
        <v>0</v>
      </c>
      <c r="H67" s="71">
        <v>0</v>
      </c>
      <c r="I67" s="25"/>
      <c r="J67" s="25"/>
      <c r="K67" s="25"/>
      <c r="L67" s="25"/>
      <c r="M67" s="25"/>
      <c r="N67" s="25"/>
      <c r="O67" s="25"/>
      <c r="P67" s="25"/>
      <c r="Q67" s="25"/>
    </row>
    <row r="68" spans="1:17">
      <c r="A68" s="25"/>
      <c r="B68" s="69" t="s">
        <v>99</v>
      </c>
      <c r="C68" s="70">
        <v>1813</v>
      </c>
      <c r="D68" s="70">
        <v>1867</v>
      </c>
      <c r="E68" s="70">
        <v>1923</v>
      </c>
      <c r="F68" s="70">
        <v>1981</v>
      </c>
      <c r="G68" s="70">
        <v>2041</v>
      </c>
      <c r="H68" s="71">
        <v>9625</v>
      </c>
      <c r="I68" s="25"/>
      <c r="J68" s="25"/>
      <c r="K68" s="25"/>
      <c r="L68" s="25"/>
      <c r="M68" s="25"/>
      <c r="N68" s="25"/>
      <c r="O68" s="25"/>
      <c r="P68" s="25"/>
      <c r="Q68" s="25"/>
    </row>
    <row r="69" spans="1:17">
      <c r="A69" s="25"/>
      <c r="B69" s="69" t="s">
        <v>100</v>
      </c>
      <c r="C69" s="70">
        <v>474</v>
      </c>
      <c r="D69" s="70">
        <v>2059</v>
      </c>
      <c r="E69" s="70">
        <v>1308</v>
      </c>
      <c r="F69" s="70">
        <v>983</v>
      </c>
      <c r="G69" s="70">
        <v>2564</v>
      </c>
      <c r="H69" s="71">
        <v>7388</v>
      </c>
      <c r="I69" s="25"/>
      <c r="J69" s="25"/>
      <c r="K69" s="25"/>
      <c r="L69" s="25"/>
      <c r="M69" s="25"/>
      <c r="N69" s="25"/>
      <c r="O69" s="25"/>
      <c r="P69" s="25"/>
      <c r="Q69" s="25"/>
    </row>
    <row r="70" spans="1:17">
      <c r="A70" s="25"/>
      <c r="B70" s="69" t="s">
        <v>101</v>
      </c>
      <c r="C70" s="70">
        <v>373</v>
      </c>
      <c r="D70" s="70">
        <v>572</v>
      </c>
      <c r="E70" s="70">
        <v>615</v>
      </c>
      <c r="F70" s="70">
        <v>661</v>
      </c>
      <c r="G70" s="70">
        <v>711</v>
      </c>
      <c r="H70" s="71">
        <v>2932</v>
      </c>
      <c r="I70" s="25"/>
      <c r="J70" s="25"/>
      <c r="K70" s="25"/>
      <c r="L70" s="25"/>
      <c r="M70" s="25"/>
      <c r="N70" s="25"/>
      <c r="O70" s="25"/>
      <c r="P70" s="25"/>
      <c r="Q70" s="25"/>
    </row>
    <row r="71" spans="1:17">
      <c r="A71" s="25"/>
      <c r="B71" s="69" t="s">
        <v>102</v>
      </c>
      <c r="C71" s="70">
        <v>2024</v>
      </c>
      <c r="D71" s="70">
        <v>84</v>
      </c>
      <c r="E71" s="70">
        <v>72</v>
      </c>
      <c r="F71" s="70">
        <v>72</v>
      </c>
      <c r="G71" s="70">
        <v>72</v>
      </c>
      <c r="H71" s="71">
        <v>2324</v>
      </c>
      <c r="I71" s="25"/>
      <c r="J71" s="25"/>
      <c r="K71" s="25"/>
      <c r="L71" s="25"/>
      <c r="M71" s="25"/>
      <c r="N71" s="25"/>
      <c r="O71" s="25"/>
      <c r="P71" s="25"/>
      <c r="Q71" s="25"/>
    </row>
    <row r="72" spans="1:17">
      <c r="A72" s="25"/>
      <c r="B72" s="69" t="s">
        <v>103</v>
      </c>
      <c r="C72" s="70">
        <v>2274</v>
      </c>
      <c r="D72" s="70">
        <v>1849</v>
      </c>
      <c r="E72" s="70">
        <v>1384</v>
      </c>
      <c r="F72" s="70">
        <v>876</v>
      </c>
      <c r="G72" s="70">
        <v>321</v>
      </c>
      <c r="H72" s="71">
        <v>6704</v>
      </c>
      <c r="I72" s="25"/>
      <c r="J72" s="25"/>
      <c r="K72" s="25"/>
      <c r="L72" s="25"/>
      <c r="M72" s="25"/>
      <c r="N72" s="25"/>
      <c r="O72" s="25"/>
      <c r="P72" s="25"/>
      <c r="Q72" s="25"/>
    </row>
    <row r="73" spans="1:17">
      <c r="A73" s="25"/>
      <c r="B73" s="69" t="s">
        <v>104</v>
      </c>
      <c r="C73" s="70">
        <v>4885</v>
      </c>
      <c r="D73" s="70">
        <v>1859</v>
      </c>
      <c r="E73" s="70">
        <v>1538</v>
      </c>
      <c r="F73" s="70">
        <v>1790</v>
      </c>
      <c r="G73" s="70">
        <v>1775</v>
      </c>
      <c r="H73" s="71">
        <v>11847</v>
      </c>
      <c r="I73" s="25"/>
      <c r="J73" s="25"/>
      <c r="K73" s="25"/>
      <c r="L73" s="25"/>
      <c r="M73" s="25"/>
      <c r="N73" s="25"/>
      <c r="O73" s="25"/>
      <c r="P73" s="25"/>
      <c r="Q73" s="25"/>
    </row>
    <row r="74" spans="1:17" ht="15" thickBot="1">
      <c r="A74" s="25"/>
      <c r="B74" s="69" t="s">
        <v>105</v>
      </c>
      <c r="C74" s="70">
        <v>2694</v>
      </c>
      <c r="D74" s="70">
        <v>2775</v>
      </c>
      <c r="E74" s="70">
        <v>2858</v>
      </c>
      <c r="F74" s="70">
        <v>2944</v>
      </c>
      <c r="G74" s="70">
        <v>3032</v>
      </c>
      <c r="H74" s="71">
        <v>14303</v>
      </c>
      <c r="I74" s="25"/>
      <c r="J74" s="25"/>
      <c r="K74" s="25"/>
      <c r="L74" s="25"/>
      <c r="M74" s="25"/>
      <c r="N74" s="25"/>
      <c r="O74" s="25"/>
      <c r="P74" s="25"/>
      <c r="Q74" s="25"/>
    </row>
    <row r="75" spans="1:17" ht="15" thickBot="1">
      <c r="A75" s="25"/>
      <c r="B75" s="72" t="s">
        <v>106</v>
      </c>
      <c r="C75" s="73">
        <v>14537</v>
      </c>
      <c r="D75" s="73">
        <v>11065</v>
      </c>
      <c r="E75" s="73">
        <v>9698</v>
      </c>
      <c r="F75" s="73">
        <v>9307</v>
      </c>
      <c r="G75" s="73">
        <v>10516</v>
      </c>
      <c r="H75" s="74">
        <v>55123</v>
      </c>
      <c r="I75" s="25"/>
      <c r="J75" s="25"/>
      <c r="K75" s="25"/>
      <c r="L75" s="25"/>
      <c r="M75" s="25"/>
      <c r="N75" s="25"/>
      <c r="O75" s="25"/>
      <c r="P75" s="25"/>
      <c r="Q75" s="25"/>
    </row>
    <row r="76" spans="1:17">
      <c r="A76" s="25"/>
      <c r="B76" s="75" t="s">
        <v>114</v>
      </c>
      <c r="C76" s="76">
        <f>C75-C72</f>
        <v>12263</v>
      </c>
      <c r="D76" s="76">
        <f t="shared" ref="D76" si="2">D75-D72</f>
        <v>9216</v>
      </c>
      <c r="E76" s="76">
        <f t="shared" ref="E76" si="3">E75-E72</f>
        <v>8314</v>
      </c>
      <c r="F76" s="76">
        <f t="shared" ref="F76" si="4">F75-F72</f>
        <v>8431</v>
      </c>
      <c r="G76" s="76">
        <f t="shared" ref="G76" si="5">G75-G72</f>
        <v>10195</v>
      </c>
      <c r="H76" s="76">
        <f>H75-H72</f>
        <v>48419</v>
      </c>
      <c r="I76" s="25"/>
      <c r="J76" s="25"/>
      <c r="K76" s="25"/>
      <c r="L76" s="25"/>
      <c r="M76" s="25"/>
      <c r="N76" s="25"/>
      <c r="O76" s="25"/>
      <c r="P76" s="25"/>
      <c r="Q76" s="25"/>
    </row>
    <row r="77" spans="1:1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7">
      <c r="A78" s="25"/>
      <c r="B78" s="25" t="s">
        <v>109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ht="22.8">
      <c r="A79" s="25"/>
      <c r="B79" s="66" t="s">
        <v>113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ht="15" thickBot="1">
      <c r="A80" s="25"/>
      <c r="B80" s="287" t="s">
        <v>108</v>
      </c>
      <c r="C80" s="288"/>
      <c r="D80" s="288"/>
      <c r="E80" s="288"/>
      <c r="F80" s="288"/>
      <c r="G80" s="288"/>
      <c r="H80" s="288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15" thickBot="1">
      <c r="A81" s="25"/>
      <c r="B81" s="67"/>
      <c r="C81" s="68" t="s">
        <v>107</v>
      </c>
      <c r="D81" s="68" t="s">
        <v>94</v>
      </c>
      <c r="E81" s="68" t="s">
        <v>95</v>
      </c>
      <c r="F81" s="68" t="s">
        <v>96</v>
      </c>
      <c r="G81" s="68" t="s">
        <v>97</v>
      </c>
      <c r="H81" s="67" t="s">
        <v>1</v>
      </c>
      <c r="I81" s="25"/>
      <c r="J81" s="25"/>
      <c r="K81" s="25"/>
      <c r="L81" s="25"/>
      <c r="M81" s="25"/>
      <c r="N81" s="25"/>
      <c r="O81" s="25"/>
      <c r="P81" s="25"/>
      <c r="Q81" s="25"/>
    </row>
    <row r="82" spans="1:17">
      <c r="A82" s="25"/>
      <c r="B82" s="69" t="s">
        <v>98</v>
      </c>
      <c r="C82" s="70">
        <v>0</v>
      </c>
      <c r="D82" s="70">
        <v>0</v>
      </c>
      <c r="E82" s="70">
        <v>0</v>
      </c>
      <c r="F82" s="70">
        <v>0</v>
      </c>
      <c r="G82" s="70">
        <v>0</v>
      </c>
      <c r="H82" s="71">
        <v>0</v>
      </c>
      <c r="I82" s="25"/>
      <c r="J82" s="25"/>
      <c r="K82" s="25"/>
      <c r="L82" s="25"/>
      <c r="M82" s="25"/>
      <c r="N82" s="25"/>
      <c r="O82" s="25"/>
      <c r="P82" s="25"/>
      <c r="Q82" s="25"/>
    </row>
    <row r="83" spans="1:17">
      <c r="A83" s="25"/>
      <c r="B83" s="69" t="s">
        <v>99</v>
      </c>
      <c r="C83" s="70">
        <v>1557</v>
      </c>
      <c r="D83" s="70">
        <v>1604</v>
      </c>
      <c r="E83" s="70">
        <v>1652</v>
      </c>
      <c r="F83" s="70">
        <v>1701</v>
      </c>
      <c r="G83" s="70">
        <v>1752</v>
      </c>
      <c r="H83" s="71">
        <v>8266</v>
      </c>
      <c r="I83" s="25"/>
      <c r="J83" s="25"/>
      <c r="K83" s="25"/>
      <c r="L83" s="25"/>
      <c r="M83" s="25"/>
      <c r="N83" s="25"/>
      <c r="O83" s="25"/>
      <c r="P83" s="25"/>
      <c r="Q83" s="25"/>
    </row>
    <row r="84" spans="1:17">
      <c r="A84" s="25"/>
      <c r="B84" s="69" t="s">
        <v>100</v>
      </c>
      <c r="C84" s="70">
        <v>1291</v>
      </c>
      <c r="D84" s="70">
        <v>2195</v>
      </c>
      <c r="E84" s="70">
        <v>1734</v>
      </c>
      <c r="F84" s="70">
        <v>894</v>
      </c>
      <c r="G84" s="70">
        <v>2935</v>
      </c>
      <c r="H84" s="71">
        <v>9049</v>
      </c>
      <c r="I84" s="25"/>
      <c r="J84" s="25"/>
      <c r="K84" s="25"/>
      <c r="L84" s="25"/>
      <c r="M84" s="25"/>
      <c r="N84" s="25"/>
      <c r="O84" s="25"/>
      <c r="P84" s="25"/>
      <c r="Q84" s="25"/>
    </row>
    <row r="85" spans="1:17">
      <c r="A85" s="25"/>
      <c r="B85" s="69" t="s">
        <v>101</v>
      </c>
      <c r="C85" s="70">
        <v>935</v>
      </c>
      <c r="D85" s="70">
        <v>1437</v>
      </c>
      <c r="E85" s="70">
        <v>1546</v>
      </c>
      <c r="F85" s="70">
        <v>1662</v>
      </c>
      <c r="G85" s="70">
        <v>1785</v>
      </c>
      <c r="H85" s="71">
        <v>7365</v>
      </c>
      <c r="I85" s="25"/>
      <c r="J85" s="25"/>
      <c r="K85" s="25"/>
      <c r="L85" s="25"/>
      <c r="M85" s="25"/>
      <c r="N85" s="25"/>
      <c r="O85" s="25"/>
      <c r="P85" s="25"/>
      <c r="Q85" s="25"/>
    </row>
    <row r="86" spans="1:17">
      <c r="A86" s="25"/>
      <c r="B86" s="69" t="s">
        <v>102</v>
      </c>
      <c r="C86" s="70">
        <v>2031</v>
      </c>
      <c r="D86" s="70">
        <v>84</v>
      </c>
      <c r="E86" s="70">
        <v>72</v>
      </c>
      <c r="F86" s="70">
        <v>72</v>
      </c>
      <c r="G86" s="70">
        <v>72</v>
      </c>
      <c r="H86" s="71">
        <v>2331</v>
      </c>
      <c r="I86" s="25"/>
      <c r="J86" s="25"/>
      <c r="K86" s="25"/>
      <c r="L86" s="25"/>
      <c r="M86" s="25"/>
      <c r="N86" s="25"/>
      <c r="O86" s="25"/>
      <c r="P86" s="25"/>
      <c r="Q86" s="25"/>
    </row>
    <row r="87" spans="1:17">
      <c r="A87" s="25"/>
      <c r="B87" s="69" t="s">
        <v>103</v>
      </c>
      <c r="C87" s="70">
        <v>2283</v>
      </c>
      <c r="D87" s="70">
        <v>1856</v>
      </c>
      <c r="E87" s="70">
        <v>1389</v>
      </c>
      <c r="F87" s="70">
        <v>880</v>
      </c>
      <c r="G87" s="70">
        <v>321</v>
      </c>
      <c r="H87" s="71">
        <v>6729</v>
      </c>
      <c r="I87" s="25"/>
      <c r="J87" s="25"/>
      <c r="K87" s="25"/>
      <c r="L87" s="25"/>
      <c r="M87" s="25"/>
      <c r="N87" s="25"/>
      <c r="O87" s="25"/>
      <c r="P87" s="25"/>
      <c r="Q87" s="25"/>
    </row>
    <row r="88" spans="1:17">
      <c r="A88" s="25"/>
      <c r="B88" s="69" t="s">
        <v>104</v>
      </c>
      <c r="C88" s="70">
        <v>5800</v>
      </c>
      <c r="D88" s="70">
        <v>2198</v>
      </c>
      <c r="E88" s="70">
        <v>2662</v>
      </c>
      <c r="F88" s="70">
        <v>3124</v>
      </c>
      <c r="G88" s="70">
        <v>2378</v>
      </c>
      <c r="H88" s="71">
        <v>16162</v>
      </c>
      <c r="I88" s="25"/>
      <c r="J88" s="25"/>
      <c r="K88" s="25"/>
      <c r="L88" s="25"/>
      <c r="M88" s="25"/>
      <c r="N88" s="25"/>
      <c r="O88" s="25"/>
      <c r="P88" s="25"/>
      <c r="Q88" s="25"/>
    </row>
    <row r="89" spans="1:17" ht="15" thickBot="1">
      <c r="A89" s="25"/>
      <c r="B89" s="69" t="s">
        <v>105</v>
      </c>
      <c r="C89" s="70">
        <v>2694</v>
      </c>
      <c r="D89" s="70">
        <v>2775</v>
      </c>
      <c r="E89" s="70">
        <v>2858</v>
      </c>
      <c r="F89" s="70">
        <v>2944</v>
      </c>
      <c r="G89" s="70">
        <v>3032</v>
      </c>
      <c r="H89" s="71">
        <v>14303</v>
      </c>
      <c r="I89" s="25"/>
      <c r="J89" s="25"/>
      <c r="K89" s="25"/>
      <c r="L89" s="25"/>
      <c r="M89" s="25"/>
      <c r="N89" s="25"/>
      <c r="O89" s="25"/>
      <c r="P89" s="25"/>
      <c r="Q89" s="25"/>
    </row>
    <row r="90" spans="1:17" ht="15" thickBot="1">
      <c r="A90" s="25"/>
      <c r="B90" s="72" t="s">
        <v>106</v>
      </c>
      <c r="C90" s="73">
        <v>16591</v>
      </c>
      <c r="D90" s="73">
        <v>12149</v>
      </c>
      <c r="E90" s="73">
        <v>11913</v>
      </c>
      <c r="F90" s="73">
        <v>11277</v>
      </c>
      <c r="G90" s="73">
        <v>12275</v>
      </c>
      <c r="H90" s="74">
        <v>64205</v>
      </c>
      <c r="I90" s="25"/>
      <c r="J90" s="25"/>
      <c r="K90" s="25"/>
      <c r="L90" s="25"/>
      <c r="M90" s="25"/>
      <c r="N90" s="25"/>
      <c r="O90" s="25"/>
      <c r="P90" s="25"/>
      <c r="Q90" s="25"/>
    </row>
    <row r="91" spans="1:17">
      <c r="A91" s="25"/>
      <c r="B91" s="75" t="s">
        <v>114</v>
      </c>
      <c r="C91" s="76">
        <f>C90-C87</f>
        <v>14308</v>
      </c>
      <c r="D91" s="76">
        <f t="shared" ref="D91" si="6">D90-D87</f>
        <v>10293</v>
      </c>
      <c r="E91" s="76">
        <f t="shared" ref="E91" si="7">E90-E87</f>
        <v>10524</v>
      </c>
      <c r="F91" s="76">
        <f t="shared" ref="F91" si="8">F90-F87</f>
        <v>10397</v>
      </c>
      <c r="G91" s="76">
        <f t="shared" ref="G91" si="9">G90-G87</f>
        <v>11954</v>
      </c>
      <c r="H91" s="76">
        <f>H90-H87</f>
        <v>57476</v>
      </c>
      <c r="I91" s="25"/>
      <c r="J91" s="25"/>
      <c r="K91" s="25"/>
      <c r="L91" s="25"/>
      <c r="M91" s="25"/>
      <c r="N91" s="25"/>
      <c r="O91" s="25"/>
      <c r="P91" s="25"/>
      <c r="Q91" s="25"/>
    </row>
    <row r="92" spans="1:17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</row>
    <row r="93" spans="1:17">
      <c r="A93" s="25"/>
      <c r="B93" s="25" t="s">
        <v>109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</row>
    <row r="94" spans="1:17" ht="22.8">
      <c r="A94" s="25"/>
      <c r="B94" s="66" t="s">
        <v>118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ht="15" thickBot="1">
      <c r="A95" s="25"/>
      <c r="B95" s="287" t="s">
        <v>108</v>
      </c>
      <c r="C95" s="288"/>
      <c r="D95" s="288"/>
      <c r="E95" s="288"/>
      <c r="F95" s="288"/>
      <c r="G95" s="288"/>
      <c r="H95" s="288"/>
      <c r="I95" s="25"/>
      <c r="J95" s="25"/>
      <c r="K95" s="25"/>
      <c r="L95" s="25"/>
      <c r="M95" s="25"/>
      <c r="N95" s="25"/>
      <c r="O95" s="25"/>
      <c r="P95" s="25"/>
      <c r="Q95" s="25"/>
    </row>
    <row r="96" spans="1:17" ht="15" thickBot="1">
      <c r="A96" s="25"/>
      <c r="B96" s="67"/>
      <c r="C96" s="68" t="s">
        <v>107</v>
      </c>
      <c r="D96" s="68" t="s">
        <v>94</v>
      </c>
      <c r="E96" s="68" t="s">
        <v>95</v>
      </c>
      <c r="F96" s="68" t="s">
        <v>96</v>
      </c>
      <c r="G96" s="68" t="s">
        <v>97</v>
      </c>
      <c r="H96" s="67" t="s">
        <v>1</v>
      </c>
      <c r="I96" s="25"/>
      <c r="J96" s="25"/>
      <c r="K96" s="25"/>
      <c r="L96" s="25"/>
      <c r="M96" s="25"/>
      <c r="N96" s="25"/>
      <c r="O96" s="25"/>
      <c r="P96" s="25"/>
      <c r="Q96" s="25"/>
    </row>
    <row r="97" spans="1:17">
      <c r="A97" s="25"/>
      <c r="B97" s="69" t="s">
        <v>98</v>
      </c>
      <c r="C97" s="70">
        <v>0</v>
      </c>
      <c r="D97" s="70">
        <v>0</v>
      </c>
      <c r="E97" s="70">
        <v>0</v>
      </c>
      <c r="F97" s="70">
        <v>0</v>
      </c>
      <c r="G97" s="70">
        <v>0</v>
      </c>
      <c r="H97" s="71">
        <v>0</v>
      </c>
      <c r="I97" s="25"/>
      <c r="J97" s="25"/>
      <c r="K97" s="25"/>
      <c r="L97" s="25"/>
      <c r="M97" s="25"/>
      <c r="N97" s="25"/>
      <c r="O97" s="25"/>
      <c r="P97" s="25"/>
      <c r="Q97" s="25"/>
    </row>
    <row r="98" spans="1:17">
      <c r="A98" s="25"/>
      <c r="B98" s="69" t="s">
        <v>99</v>
      </c>
      <c r="C98" s="70">
        <v>1661</v>
      </c>
      <c r="D98" s="70">
        <v>1719</v>
      </c>
      <c r="E98" s="70">
        <v>1779</v>
      </c>
      <c r="F98" s="70">
        <v>1842</v>
      </c>
      <c r="G98" s="70">
        <v>1906</v>
      </c>
      <c r="H98" s="71">
        <v>8907</v>
      </c>
      <c r="I98" s="25"/>
      <c r="J98" s="25"/>
      <c r="K98" s="25"/>
      <c r="L98" s="25"/>
      <c r="M98" s="25"/>
      <c r="N98" s="25"/>
      <c r="O98" s="25"/>
      <c r="P98" s="25"/>
      <c r="Q98" s="25"/>
    </row>
    <row r="99" spans="1:17">
      <c r="A99" s="25"/>
      <c r="B99" s="69" t="s">
        <v>100</v>
      </c>
      <c r="C99" s="70">
        <v>229</v>
      </c>
      <c r="D99" s="70">
        <v>791</v>
      </c>
      <c r="E99" s="70">
        <v>1073</v>
      </c>
      <c r="F99" s="70">
        <v>2346</v>
      </c>
      <c r="G99" s="70">
        <v>971</v>
      </c>
      <c r="H99" s="71">
        <v>5410</v>
      </c>
      <c r="I99" s="25"/>
      <c r="J99" s="25"/>
      <c r="K99" s="25"/>
      <c r="L99" s="25"/>
      <c r="M99" s="25"/>
      <c r="N99" s="25"/>
      <c r="O99" s="25"/>
      <c r="P99" s="25"/>
      <c r="Q99" s="25"/>
    </row>
    <row r="100" spans="1:17">
      <c r="A100" s="25"/>
      <c r="B100" s="69" t="s">
        <v>101</v>
      </c>
      <c r="C100" s="70">
        <v>0</v>
      </c>
      <c r="D100" s="70">
        <v>0</v>
      </c>
      <c r="E100" s="70">
        <v>0</v>
      </c>
      <c r="F100" s="70">
        <v>1004</v>
      </c>
      <c r="G100" s="70">
        <v>1541</v>
      </c>
      <c r="H100" s="71">
        <v>2545</v>
      </c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1:17">
      <c r="A101" s="25"/>
      <c r="B101" s="69" t="s">
        <v>102</v>
      </c>
      <c r="C101" s="70">
        <v>3448</v>
      </c>
      <c r="D101" s="70">
        <v>84</v>
      </c>
      <c r="E101" s="70">
        <v>72</v>
      </c>
      <c r="F101" s="70">
        <v>72</v>
      </c>
      <c r="G101" s="70">
        <v>72</v>
      </c>
      <c r="H101" s="71">
        <v>3748</v>
      </c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>
      <c r="A102" s="25"/>
      <c r="B102" s="69" t="s">
        <v>103</v>
      </c>
      <c r="C102" s="70">
        <v>3764</v>
      </c>
      <c r="D102" s="70">
        <v>3060</v>
      </c>
      <c r="E102" s="70">
        <v>2292</v>
      </c>
      <c r="F102" s="70">
        <v>1450</v>
      </c>
      <c r="G102" s="70">
        <v>530</v>
      </c>
      <c r="H102" s="71">
        <v>11096</v>
      </c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1:17">
      <c r="A103" s="25"/>
      <c r="B103" s="69" t="s">
        <v>104</v>
      </c>
      <c r="C103" s="70">
        <v>12150</v>
      </c>
      <c r="D103" s="70">
        <v>3700</v>
      </c>
      <c r="E103" s="70">
        <v>3021</v>
      </c>
      <c r="F103" s="70">
        <v>3389</v>
      </c>
      <c r="G103" s="70">
        <v>2961</v>
      </c>
      <c r="H103" s="71">
        <v>25221</v>
      </c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1:17" ht="15" thickBot="1">
      <c r="A104" s="25"/>
      <c r="B104" s="69" t="s">
        <v>105</v>
      </c>
      <c r="C104" s="70">
        <v>2106</v>
      </c>
      <c r="D104" s="70">
        <v>2169</v>
      </c>
      <c r="E104" s="70">
        <v>2234</v>
      </c>
      <c r="F104" s="70">
        <v>2301</v>
      </c>
      <c r="G104" s="70">
        <v>2370</v>
      </c>
      <c r="H104" s="71">
        <v>11180</v>
      </c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ht="15" thickBot="1">
      <c r="A105" s="25"/>
      <c r="B105" s="72" t="s">
        <v>106</v>
      </c>
      <c r="C105" s="73">
        <v>23358</v>
      </c>
      <c r="D105" s="73">
        <v>11523</v>
      </c>
      <c r="E105" s="73">
        <v>10471</v>
      </c>
      <c r="F105" s="73">
        <v>12404</v>
      </c>
      <c r="G105" s="73">
        <v>10351</v>
      </c>
      <c r="H105" s="262">
        <v>68107</v>
      </c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>
      <c r="A106" s="25"/>
      <c r="B106" s="75" t="s">
        <v>114</v>
      </c>
      <c r="C106" s="76">
        <f>C105-C102</f>
        <v>19594</v>
      </c>
      <c r="D106" s="76">
        <f t="shared" ref="D106" si="10">D105-D102</f>
        <v>8463</v>
      </c>
      <c r="E106" s="76">
        <f t="shared" ref="E106" si="11">E105-E102</f>
        <v>8179</v>
      </c>
      <c r="F106" s="76">
        <f t="shared" ref="F106" si="12">F105-F102</f>
        <v>10954</v>
      </c>
      <c r="G106" s="76">
        <f t="shared" ref="G106" si="13">G105-G102</f>
        <v>9821</v>
      </c>
      <c r="H106" s="263">
        <f>H105-H102</f>
        <v>57011</v>
      </c>
      <c r="I106" s="25"/>
      <c r="J106" s="25"/>
      <c r="K106" s="25"/>
      <c r="L106" s="25"/>
      <c r="M106" s="25"/>
      <c r="N106" s="25"/>
      <c r="O106" s="25"/>
      <c r="P106" s="25"/>
      <c r="Q106" s="25"/>
    </row>
    <row r="107" spans="1:1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1:17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1:17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1:17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1:17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1:17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17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1:17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17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7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1:17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</sheetData>
  <mergeCells count="5">
    <mergeCell ref="B49:H49"/>
    <mergeCell ref="B65:H65"/>
    <mergeCell ref="B80:H80"/>
    <mergeCell ref="B95:H95"/>
    <mergeCell ref="D1:F2"/>
  </mergeCells>
  <hyperlinks>
    <hyperlink ref="A30" r:id="rId1" xr:uid="{F83ABCEC-D07E-4E09-9A4B-15B461E9AAD1}"/>
    <hyperlink ref="A31" r:id="rId2" display="Should I Lease or Buy a Car? NerdWallet, Dec 2023" xr:uid="{E9710326-FA27-47DD-BD60-32C0B3CDF36D}"/>
    <hyperlink ref="B42" r:id="rId3" xr:uid="{296C0FD6-46A1-487F-8D83-828AF87824C6}"/>
  </hyperlinks>
  <pageMargins left="0.25" right="0.25" top="0.75" bottom="0.75" header="0.3" footer="0.3"/>
  <pageSetup scale="71" orientation="landscape" horizontalDpi="0" verticalDpi="0" r:id="rId4"/>
  <headerFooter>
    <oddFooter>&amp;LDIYmoneytrack.com - Copyrighted Material.&amp;R&amp;P</oddFoot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6" tint="0.39997558519241921"/>
    <pageSetUpPr fitToPage="1"/>
  </sheetPr>
  <dimension ref="A1:AC200"/>
  <sheetViews>
    <sheetView zoomScale="90" zoomScaleNormal="90" workbookViewId="0">
      <selection activeCell="B23" sqref="B23"/>
    </sheetView>
  </sheetViews>
  <sheetFormatPr defaultRowHeight="14.4"/>
  <cols>
    <col min="1" max="1" width="3" customWidth="1"/>
    <col min="2" max="2" width="40.109375" customWidth="1"/>
    <col min="3" max="3" width="16.5546875" customWidth="1"/>
    <col min="4" max="4" width="15.5546875" customWidth="1"/>
    <col min="5" max="5" width="11.44140625" customWidth="1"/>
    <col min="6" max="6" width="13.5546875" customWidth="1"/>
    <col min="7" max="7" width="13.109375" customWidth="1"/>
    <col min="8" max="8" width="16.77734375" hidden="1" customWidth="1"/>
    <col min="9" max="9" width="16.5546875" customWidth="1"/>
    <col min="10" max="10" width="1.33203125" customWidth="1"/>
    <col min="11" max="11" width="11" customWidth="1"/>
  </cols>
  <sheetData>
    <row r="1" spans="1:29" ht="21">
      <c r="A1" s="22" t="s">
        <v>147</v>
      </c>
      <c r="B1" s="24"/>
      <c r="C1" s="285" t="s">
        <v>215</v>
      </c>
      <c r="D1" s="286"/>
      <c r="E1" s="286"/>
      <c r="F1" s="286"/>
      <c r="G1" s="286"/>
      <c r="H1" s="286"/>
      <c r="I1" s="286"/>
      <c r="J1" s="24"/>
      <c r="K1" s="24"/>
      <c r="L1" s="24"/>
      <c r="M1" s="24"/>
      <c r="N1" s="24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18">
      <c r="A2" s="26" t="s">
        <v>7</v>
      </c>
      <c r="B2" s="24"/>
      <c r="C2" s="286"/>
      <c r="D2" s="286"/>
      <c r="E2" s="286"/>
      <c r="F2" s="286"/>
      <c r="G2" s="286"/>
      <c r="H2" s="286"/>
      <c r="I2" s="286"/>
      <c r="J2" s="24"/>
      <c r="K2" s="24"/>
      <c r="L2" s="24"/>
      <c r="M2" s="24"/>
      <c r="N2" s="24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25"/>
      <c r="B3" s="24"/>
      <c r="C3" s="24"/>
      <c r="D3" s="24"/>
      <c r="E3" s="24"/>
      <c r="F3" s="24"/>
      <c r="G3" s="25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8">
      <c r="A4" s="155" t="s">
        <v>156</v>
      </c>
      <c r="B4" s="25"/>
      <c r="C4" s="29"/>
      <c r="D4" s="25"/>
      <c r="E4" s="25"/>
      <c r="F4" s="25"/>
      <c r="G4" s="25"/>
      <c r="H4" s="24"/>
      <c r="I4" s="24"/>
      <c r="J4" s="24"/>
      <c r="K4" s="24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3.2" customHeight="1">
      <c r="A5" s="27"/>
      <c r="B5" s="25"/>
      <c r="C5" s="29"/>
      <c r="D5" s="25"/>
      <c r="E5" s="25"/>
      <c r="F5" s="25"/>
      <c r="G5" s="25"/>
      <c r="H5" s="24"/>
      <c r="I5" s="24"/>
      <c r="J5" s="24"/>
      <c r="K5" s="24"/>
      <c r="L5" s="24"/>
      <c r="M5" s="24"/>
      <c r="N5" s="2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7.399999999999999">
      <c r="A6" s="28"/>
      <c r="B6" s="25"/>
      <c r="C6" s="41"/>
      <c r="D6" s="42" t="s">
        <v>155</v>
      </c>
      <c r="E6" s="43"/>
      <c r="F6" s="43"/>
      <c r="G6" s="43"/>
      <c r="H6" s="42" t="s">
        <v>71</v>
      </c>
      <c r="I6" s="42"/>
      <c r="J6" s="24"/>
      <c r="K6" s="24"/>
      <c r="L6" s="24"/>
      <c r="M6" s="24"/>
      <c r="N6" s="2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8" thickBot="1">
      <c r="A7" s="44"/>
      <c r="B7" s="45" t="s">
        <v>66</v>
      </c>
      <c r="C7" s="46" t="s">
        <v>67</v>
      </c>
      <c r="D7" s="46" t="s">
        <v>158</v>
      </c>
      <c r="E7" s="46" t="s">
        <v>159</v>
      </c>
      <c r="F7" s="46" t="s">
        <v>1</v>
      </c>
      <c r="G7" s="46" t="s">
        <v>3</v>
      </c>
      <c r="H7" s="46" t="s">
        <v>72</v>
      </c>
      <c r="I7" s="46" t="s">
        <v>160</v>
      </c>
      <c r="J7" s="24"/>
      <c r="K7" s="24"/>
      <c r="L7" s="24"/>
      <c r="M7" s="24"/>
      <c r="N7" s="24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5.4" customHeight="1" thickBot="1">
      <c r="A8" s="28"/>
      <c r="B8" s="25"/>
      <c r="C8" s="42"/>
      <c r="D8" s="42"/>
      <c r="E8" s="42"/>
      <c r="F8" s="42"/>
      <c r="G8" s="42"/>
      <c r="H8" s="42"/>
      <c r="I8" s="42"/>
      <c r="J8" s="24"/>
      <c r="K8" s="24"/>
      <c r="L8" s="24"/>
      <c r="M8" s="24"/>
      <c r="N8" s="24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25.8" customHeight="1" thickTop="1" thickBot="1">
      <c r="A9" s="28"/>
      <c r="B9" s="163" t="s">
        <v>224</v>
      </c>
      <c r="C9" s="164">
        <v>450000</v>
      </c>
      <c r="D9" s="165">
        <v>3427</v>
      </c>
      <c r="E9" s="165">
        <v>454</v>
      </c>
      <c r="F9" s="137">
        <f>D9+E9</f>
        <v>3881</v>
      </c>
      <c r="G9" s="137">
        <f>F11-F9</f>
        <v>1780.25444995623</v>
      </c>
      <c r="H9" s="34">
        <v>1234797</v>
      </c>
      <c r="I9" s="136">
        <v>540310</v>
      </c>
      <c r="J9" s="24"/>
      <c r="K9" s="24"/>
      <c r="L9" s="24"/>
      <c r="M9" s="24"/>
      <c r="N9" s="24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22.05" hidden="1" customHeight="1">
      <c r="A10" s="28"/>
      <c r="B10" s="29" t="s">
        <v>68</v>
      </c>
      <c r="C10" s="31"/>
      <c r="D10" s="32"/>
      <c r="E10" s="32"/>
      <c r="F10" s="33"/>
      <c r="G10" s="25"/>
      <c r="H10" s="34"/>
      <c r="I10" s="24"/>
      <c r="J10" s="24"/>
      <c r="K10" s="24"/>
      <c r="L10" s="24"/>
      <c r="M10" s="24"/>
      <c r="N10" s="24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25.2" customHeight="1" thickTop="1">
      <c r="A11" s="28"/>
      <c r="B11" s="100" t="s">
        <v>225</v>
      </c>
      <c r="C11" s="164">
        <v>650000</v>
      </c>
      <c r="D11" s="165">
        <v>4999</v>
      </c>
      <c r="E11" s="165">
        <f>D11*(E9/D9)</f>
        <v>662.25444995622991</v>
      </c>
      <c r="F11" s="137">
        <f>D11+E11</f>
        <v>5661.25444995623</v>
      </c>
      <c r="G11" s="25"/>
      <c r="H11" s="25"/>
      <c r="I11" s="25"/>
      <c r="J11" s="24"/>
      <c r="K11" s="24"/>
      <c r="L11" s="24"/>
      <c r="M11" s="24"/>
      <c r="N11" s="24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22.05" hidden="1" customHeight="1">
      <c r="A12" s="28"/>
      <c r="B12" s="29" t="s">
        <v>69</v>
      </c>
      <c r="C12" s="31"/>
      <c r="D12" s="32"/>
      <c r="E12" s="32"/>
      <c r="F12" s="33"/>
      <c r="G12" s="33"/>
      <c r="H12" s="34"/>
      <c r="I12" s="97"/>
      <c r="J12" s="24"/>
      <c r="K12" s="24"/>
      <c r="L12" s="24"/>
      <c r="M12" s="24"/>
      <c r="N12" s="24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24" customHeight="1">
      <c r="A13" s="28"/>
      <c r="B13" s="24"/>
      <c r="C13" s="35"/>
      <c r="D13" s="24"/>
      <c r="E13" s="24"/>
      <c r="F13" s="24"/>
      <c r="G13" s="25"/>
      <c r="H13" s="47"/>
      <c r="I13" s="24"/>
      <c r="J13" s="24"/>
      <c r="K13" s="24"/>
      <c r="L13" s="24"/>
      <c r="M13" s="24"/>
      <c r="N13" s="24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>
      <c r="A14" s="36" t="s">
        <v>157</v>
      </c>
      <c r="B14" s="37"/>
      <c r="C14" s="24"/>
      <c r="D14" s="151"/>
      <c r="E14" s="24"/>
      <c r="F14" s="24"/>
      <c r="G14" s="25"/>
      <c r="H14" s="24"/>
      <c r="I14" s="24"/>
      <c r="J14" s="24"/>
      <c r="K14" s="24"/>
      <c r="L14" s="24"/>
      <c r="M14" s="24"/>
      <c r="N14" s="24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>
      <c r="A15" s="38">
        <v>1</v>
      </c>
      <c r="B15" s="25" t="s">
        <v>268</v>
      </c>
      <c r="C15" s="24"/>
      <c r="D15" s="151"/>
      <c r="E15" s="24"/>
      <c r="F15" s="24"/>
      <c r="G15" s="25"/>
      <c r="H15" s="24"/>
      <c r="I15" s="24"/>
      <c r="J15" s="24"/>
      <c r="K15" s="24"/>
      <c r="L15" s="24"/>
      <c r="M15" s="24"/>
      <c r="N15" s="24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>
      <c r="A16" s="39">
        <v>2</v>
      </c>
      <c r="B16" s="25" t="s">
        <v>197</v>
      </c>
      <c r="C16" s="24"/>
      <c r="D16" s="24"/>
      <c r="E16" s="24"/>
      <c r="F16" s="24"/>
      <c r="G16" s="25"/>
      <c r="H16" s="24"/>
      <c r="I16" s="24"/>
      <c r="J16" s="24"/>
      <c r="K16" s="24"/>
      <c r="L16" s="24"/>
      <c r="M16" s="24"/>
      <c r="N16" s="24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>
      <c r="A17" s="39"/>
      <c r="B17" s="25" t="s">
        <v>196</v>
      </c>
      <c r="C17" s="24"/>
      <c r="D17" s="24"/>
      <c r="E17" s="24"/>
      <c r="F17" s="24"/>
      <c r="G17" s="25"/>
      <c r="H17" s="24"/>
      <c r="I17" s="24"/>
      <c r="J17" s="24"/>
      <c r="K17" s="24"/>
      <c r="L17" s="24"/>
      <c r="M17" s="24"/>
      <c r="N17" s="24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>
      <c r="A18" s="39"/>
      <c r="B18" s="29" t="s">
        <v>195</v>
      </c>
      <c r="C18" s="24"/>
      <c r="D18" s="24"/>
      <c r="E18" s="24"/>
      <c r="F18" s="24"/>
      <c r="G18" s="25"/>
      <c r="H18" s="24"/>
      <c r="I18" s="24"/>
      <c r="J18" s="24"/>
      <c r="K18" s="24"/>
      <c r="L18" s="24"/>
      <c r="M18" s="24"/>
      <c r="N18" s="24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>
      <c r="A19" s="39">
        <v>3</v>
      </c>
      <c r="B19" s="25" t="s">
        <v>154</v>
      </c>
      <c r="C19" s="24"/>
      <c r="D19" s="24"/>
      <c r="E19" s="24"/>
      <c r="F19" s="24"/>
      <c r="G19" s="25"/>
      <c r="H19" s="24"/>
      <c r="I19" s="24"/>
      <c r="J19" s="24"/>
      <c r="K19" s="24"/>
      <c r="L19" s="24"/>
      <c r="M19" s="24"/>
      <c r="N19" s="24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>
      <c r="A20" s="40"/>
      <c r="B20" s="25"/>
      <c r="C20" s="24"/>
      <c r="D20" s="24"/>
      <c r="E20" s="24"/>
      <c r="F20" s="24"/>
      <c r="G20" s="25"/>
      <c r="H20" s="24"/>
      <c r="I20" s="24"/>
      <c r="J20" s="24"/>
      <c r="K20" s="24"/>
      <c r="L20" s="24"/>
      <c r="M20" s="24"/>
      <c r="N20" s="24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>
      <c r="A21" s="25"/>
      <c r="B21" s="25"/>
      <c r="C21" s="25"/>
      <c r="D21" s="25"/>
      <c r="E21" s="25"/>
      <c r="F21" s="25"/>
      <c r="G21" s="25"/>
      <c r="H21" s="24"/>
      <c r="I21" s="24"/>
      <c r="J21" s="24"/>
      <c r="K21" s="24"/>
      <c r="L21" s="24"/>
      <c r="M21" s="24"/>
      <c r="N21" s="24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>
      <c r="A22" s="25" t="s">
        <v>267</v>
      </c>
      <c r="B22" s="25"/>
      <c r="C22" s="25"/>
      <c r="D22" s="25"/>
      <c r="E22" s="25"/>
      <c r="F22" s="25"/>
      <c r="G22" s="25"/>
      <c r="H22" s="24"/>
      <c r="I22" s="24"/>
      <c r="J22" s="24"/>
      <c r="K22" s="24"/>
      <c r="L22" s="24"/>
      <c r="M22" s="24"/>
      <c r="N22" s="24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8">
      <c r="A23" s="264"/>
      <c r="B23" s="29" t="s">
        <v>265</v>
      </c>
      <c r="C23" s="52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>
      <c r="A24" s="25"/>
      <c r="B24" s="29" t="s">
        <v>266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hidden="1">
      <c r="A54" s="25"/>
      <c r="B54" s="25"/>
      <c r="C54" s="36"/>
      <c r="D54" s="221" t="s">
        <v>228</v>
      </c>
      <c r="E54" s="222" t="s">
        <v>231</v>
      </c>
      <c r="F54" s="221"/>
      <c r="G54" s="221" t="s">
        <v>230</v>
      </c>
      <c r="H54" s="221"/>
      <c r="I54" s="221" t="s">
        <v>91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hidden="1">
      <c r="A55" s="25"/>
      <c r="B55" s="25"/>
      <c r="C55" s="25" t="s">
        <v>226</v>
      </c>
      <c r="D55" s="52">
        <v>2762</v>
      </c>
      <c r="E55" s="52">
        <v>376946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hidden="1">
      <c r="A56" s="25"/>
      <c r="B56" s="25"/>
      <c r="C56" s="36" t="s">
        <v>227</v>
      </c>
      <c r="D56" s="92">
        <v>3311</v>
      </c>
      <c r="E56" s="92">
        <v>481558</v>
      </c>
      <c r="F56" s="36"/>
      <c r="G56" s="36"/>
      <c r="H56" s="36"/>
      <c r="I56" s="3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hidden="1">
      <c r="A57" s="25"/>
      <c r="B57" s="25"/>
      <c r="D57" s="33">
        <f>D56-D55</f>
        <v>549</v>
      </c>
      <c r="E57" s="33">
        <f>E56-E55</f>
        <v>104612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hidden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hidden="1">
      <c r="A59" s="25"/>
      <c r="B59" s="25"/>
      <c r="C59" s="29" t="s">
        <v>229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1:29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1:2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1:29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1:2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1:29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1:29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1:2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1:29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1:2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1:29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</sheetData>
  <mergeCells count="1">
    <mergeCell ref="C1:I2"/>
  </mergeCells>
  <hyperlinks>
    <hyperlink ref="B12" r:id="rId1" xr:uid="{BAA36F69-25E6-408D-A713-1556E4FF1F3B}"/>
    <hyperlink ref="B10" r:id="rId2" xr:uid="{9BC7C898-B336-4367-9684-04FD469E602D}"/>
    <hyperlink ref="B18" r:id="rId3" xr:uid="{C6890DEF-F4EF-4360-B995-534AD5650377}"/>
    <hyperlink ref="C59" r:id="rId4" xr:uid="{E34C1E76-D289-4490-9E8A-CF124EAC8B41}"/>
    <hyperlink ref="B23" r:id="rId5" display="How much house can I afford? NerdWallet" xr:uid="{742458F3-F00B-4A8D-9217-318E68631D5E}"/>
    <hyperlink ref="B24" r:id="rId6" xr:uid="{F5FC52E7-F19A-4658-BE5E-F84794DFA909}"/>
  </hyperlinks>
  <pageMargins left="0.7" right="0.7" top="0.75" bottom="0.75" header="0.3" footer="0.3"/>
  <pageSetup scale="93" orientation="landscape" horizontalDpi="0" verticalDpi="0" r:id="rId7"/>
  <headerFooter>
    <oddFooter>&amp;LDIYmoneytrack.com - Copyrighted Material.&amp;R&amp;P</oddFoot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0.59999389629810485"/>
    <pageSetUpPr fitToPage="1"/>
  </sheetPr>
  <dimension ref="A1:L61"/>
  <sheetViews>
    <sheetView zoomScaleNormal="100" workbookViewId="0">
      <selection activeCell="C18" sqref="C18"/>
    </sheetView>
  </sheetViews>
  <sheetFormatPr defaultRowHeight="14.4"/>
  <cols>
    <col min="1" max="2" width="4.6640625" customWidth="1"/>
    <col min="3" max="3" width="24.77734375" customWidth="1"/>
    <col min="4" max="4" width="16.6640625" customWidth="1"/>
    <col min="5" max="5" width="16.33203125" customWidth="1"/>
    <col min="6" max="6" width="16.77734375" customWidth="1"/>
    <col min="7" max="7" width="15.5546875" customWidth="1"/>
    <col min="8" max="8" width="16.109375" customWidth="1"/>
    <col min="9" max="9" width="15.5546875" customWidth="1"/>
    <col min="10" max="10" width="1.44140625" customWidth="1"/>
  </cols>
  <sheetData>
    <row r="1" spans="1:12" ht="21">
      <c r="A1" s="22" t="s">
        <v>147</v>
      </c>
      <c r="B1" s="48"/>
      <c r="C1" s="25"/>
      <c r="D1" s="25"/>
      <c r="E1" s="289" t="s">
        <v>215</v>
      </c>
      <c r="F1" s="290"/>
      <c r="G1" s="290"/>
      <c r="H1" s="290"/>
      <c r="I1" s="290"/>
      <c r="J1" s="25"/>
      <c r="K1" s="25"/>
      <c r="L1" s="25"/>
    </row>
    <row r="2" spans="1:12" ht="18">
      <c r="A2" s="26" t="s">
        <v>0</v>
      </c>
      <c r="B2" s="49"/>
      <c r="C2" s="25"/>
      <c r="D2" s="25"/>
      <c r="E2" s="291"/>
      <c r="F2" s="291"/>
      <c r="G2" s="291"/>
      <c r="H2" s="291"/>
      <c r="I2" s="291"/>
      <c r="J2" s="25"/>
      <c r="K2" s="25"/>
      <c r="L2" s="2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39"/>
      <c r="B4" s="25"/>
      <c r="C4" s="25"/>
      <c r="D4" s="25"/>
      <c r="E4" s="25"/>
      <c r="F4" s="25"/>
      <c r="G4" s="25"/>
      <c r="H4" s="50" t="s">
        <v>64</v>
      </c>
      <c r="I4" s="50"/>
      <c r="J4" s="25"/>
      <c r="K4" s="25"/>
      <c r="L4" s="25"/>
    </row>
    <row r="5" spans="1:12" ht="15" thickBot="1">
      <c r="B5" s="25"/>
      <c r="C5" s="25"/>
      <c r="D5" s="51"/>
      <c r="E5" s="51"/>
      <c r="F5" s="50" t="s">
        <v>58</v>
      </c>
      <c r="G5" s="50" t="s">
        <v>54</v>
      </c>
      <c r="H5" s="50" t="s">
        <v>63</v>
      </c>
      <c r="I5" s="166"/>
      <c r="J5" s="25"/>
      <c r="K5" s="25"/>
      <c r="L5" s="25"/>
    </row>
    <row r="6" spans="1:12" ht="17.399999999999999" thickTop="1" thickBot="1">
      <c r="A6" s="55" t="s">
        <v>199</v>
      </c>
      <c r="B6" s="45"/>
      <c r="C6" s="45"/>
      <c r="D6" s="56" t="s">
        <v>162</v>
      </c>
      <c r="E6" s="57" t="s">
        <v>4</v>
      </c>
      <c r="F6" s="57" t="s">
        <v>163</v>
      </c>
      <c r="G6" s="57" t="s">
        <v>59</v>
      </c>
      <c r="H6" s="57" t="s">
        <v>163</v>
      </c>
      <c r="I6" s="167" t="s">
        <v>198</v>
      </c>
      <c r="J6" s="25"/>
      <c r="K6" s="25"/>
      <c r="L6" s="25"/>
    </row>
    <row r="7" spans="1:12">
      <c r="A7" s="25" t="s">
        <v>161</v>
      </c>
      <c r="B7" s="25"/>
      <c r="C7" s="25"/>
      <c r="D7" s="25"/>
      <c r="E7" s="25"/>
      <c r="F7" s="25"/>
      <c r="G7" s="25"/>
      <c r="H7" s="25"/>
      <c r="I7" s="98"/>
      <c r="J7" s="25"/>
      <c r="K7" s="25"/>
      <c r="L7" s="25"/>
    </row>
    <row r="8" spans="1:12" ht="4.8" customHeight="1">
      <c r="A8" s="25"/>
      <c r="B8" s="25"/>
      <c r="C8" s="25"/>
      <c r="D8" s="25"/>
      <c r="E8" s="25"/>
      <c r="F8" s="25"/>
      <c r="G8" s="25"/>
      <c r="H8" s="25"/>
      <c r="I8" s="98"/>
      <c r="J8" s="25"/>
      <c r="K8" s="25"/>
      <c r="L8" s="25"/>
    </row>
    <row r="9" spans="1:12" ht="19.95" customHeight="1">
      <c r="A9" s="36" t="s">
        <v>55</v>
      </c>
      <c r="B9" s="36"/>
      <c r="C9" s="36"/>
      <c r="D9" s="59">
        <v>5424</v>
      </c>
      <c r="E9" s="92">
        <f>D9*12</f>
        <v>65088</v>
      </c>
      <c r="F9" s="92">
        <v>1457083</v>
      </c>
      <c r="G9" s="52"/>
      <c r="H9" s="52"/>
      <c r="I9" s="99"/>
      <c r="J9" s="25"/>
      <c r="K9" s="25"/>
      <c r="L9" s="25"/>
    </row>
    <row r="10" spans="1:12" ht="19.95" customHeight="1">
      <c r="A10" s="100" t="s">
        <v>51</v>
      </c>
      <c r="B10" s="100"/>
      <c r="C10" s="100"/>
      <c r="D10" s="138">
        <v>7590</v>
      </c>
      <c r="E10" s="101">
        <f>D10*12</f>
        <v>91080</v>
      </c>
      <c r="F10" s="101">
        <v>2038949</v>
      </c>
      <c r="G10" s="101">
        <f>E10-E9</f>
        <v>25992</v>
      </c>
      <c r="H10" s="101">
        <f>F10-F9</f>
        <v>581866</v>
      </c>
      <c r="I10" s="109">
        <v>842402</v>
      </c>
      <c r="J10" s="25"/>
      <c r="K10" s="25"/>
      <c r="L10" s="25"/>
    </row>
    <row r="11" spans="1:12" ht="19.95" customHeight="1">
      <c r="A11" s="102" t="s">
        <v>52</v>
      </c>
      <c r="B11" s="102"/>
      <c r="C11" s="102"/>
      <c r="D11" s="106">
        <v>9219</v>
      </c>
      <c r="E11" s="103">
        <f t="shared" ref="E11:E12" si="0">D11*12</f>
        <v>110628</v>
      </c>
      <c r="F11" s="103">
        <v>2476557</v>
      </c>
      <c r="G11" s="103">
        <f>E11-E10</f>
        <v>19548</v>
      </c>
      <c r="H11" s="103">
        <f t="shared" ref="H11" si="1">F11-F10</f>
        <v>437608</v>
      </c>
      <c r="I11" s="142">
        <v>633552</v>
      </c>
      <c r="J11" s="25"/>
      <c r="K11" s="25"/>
      <c r="L11" s="25"/>
    </row>
    <row r="12" spans="1:12" ht="19.95" customHeight="1">
      <c r="A12" s="102" t="s">
        <v>53</v>
      </c>
      <c r="B12" s="102"/>
      <c r="C12" s="102"/>
      <c r="D12" s="106">
        <v>11017</v>
      </c>
      <c r="E12" s="103">
        <f t="shared" si="0"/>
        <v>132204</v>
      </c>
      <c r="F12" s="103">
        <v>2959565</v>
      </c>
      <c r="G12" s="103">
        <f>E12-E11</f>
        <v>21576</v>
      </c>
      <c r="H12" s="143">
        <f>F12-F11</f>
        <v>483008</v>
      </c>
      <c r="I12" s="224">
        <v>699280</v>
      </c>
      <c r="J12" s="25"/>
      <c r="K12" s="25"/>
      <c r="L12" s="25"/>
    </row>
    <row r="13" spans="1:12" ht="19.95" customHeight="1" thickBot="1">
      <c r="A13" s="102" t="s">
        <v>232</v>
      </c>
      <c r="B13" s="102"/>
      <c r="C13" s="102"/>
      <c r="D13" s="106">
        <v>11694</v>
      </c>
      <c r="E13" s="103">
        <f t="shared" ref="E13" si="2">D13*12</f>
        <v>140328</v>
      </c>
      <c r="F13" s="103">
        <v>3141432</v>
      </c>
      <c r="G13" s="103">
        <f>E13-E12</f>
        <v>8124</v>
      </c>
      <c r="H13" s="143">
        <f t="shared" ref="H13" si="3">F13-F12</f>
        <v>181867</v>
      </c>
      <c r="I13" s="223">
        <v>263299</v>
      </c>
      <c r="J13" s="25"/>
      <c r="K13" s="25"/>
      <c r="L13" s="25"/>
    </row>
    <row r="14" spans="1:12" ht="22.2" customHeight="1" thickTop="1">
      <c r="A14" s="36"/>
      <c r="B14" s="36"/>
      <c r="C14" s="36"/>
      <c r="D14" s="52"/>
      <c r="E14" s="52"/>
      <c r="F14" s="52"/>
      <c r="G14" s="52"/>
      <c r="H14" s="52"/>
      <c r="I14" s="52"/>
      <c r="J14" s="25"/>
      <c r="K14" s="25"/>
      <c r="L14" s="25"/>
    </row>
    <row r="15" spans="1:12">
      <c r="A15" s="53" t="s">
        <v>60</v>
      </c>
      <c r="B15" s="25"/>
      <c r="C15" s="25"/>
      <c r="D15" s="150" t="s">
        <v>56</v>
      </c>
      <c r="E15" s="54"/>
      <c r="F15" s="52"/>
      <c r="G15" s="52"/>
      <c r="H15" s="52"/>
      <c r="I15" s="25"/>
      <c r="J15" s="25"/>
      <c r="K15" s="25"/>
      <c r="L15" s="25"/>
    </row>
    <row r="16" spans="1:12">
      <c r="A16" s="53" t="s">
        <v>61</v>
      </c>
      <c r="B16" s="25"/>
      <c r="C16" s="25"/>
      <c r="D16" s="150"/>
      <c r="E16" s="54"/>
      <c r="F16" s="52"/>
      <c r="G16" s="52"/>
      <c r="H16" s="52"/>
      <c r="I16" s="25"/>
      <c r="J16" s="25"/>
      <c r="K16" s="25"/>
      <c r="L16" s="25"/>
    </row>
    <row r="17" spans="1:12">
      <c r="A17" s="53" t="s">
        <v>62</v>
      </c>
      <c r="B17" s="25"/>
      <c r="C17" s="25"/>
      <c r="D17" s="54"/>
      <c r="E17" s="54"/>
      <c r="F17" s="52"/>
      <c r="G17" s="52"/>
      <c r="H17" s="52"/>
      <c r="I17" s="25"/>
      <c r="J17" s="25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</sheetData>
  <mergeCells count="1">
    <mergeCell ref="E1:I2"/>
  </mergeCells>
  <hyperlinks>
    <hyperlink ref="D15" r:id="rId1" xr:uid="{7BE6FB2F-5654-4125-82ED-C9462094C755}"/>
  </hyperlinks>
  <pageMargins left="0.25" right="0.25" top="0.75" bottom="0.75" header="0.3" footer="0.3"/>
  <pageSetup orientation="landscape" horizontalDpi="0" verticalDpi="0" r:id="rId2"/>
  <headerFooter>
    <oddFooter>&amp;LDIYmoneytrack.com - Copyrighted Material&amp;R&amp;P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0.79998168889431442"/>
    <pageSetUpPr fitToPage="1"/>
  </sheetPr>
  <dimension ref="A1:J29"/>
  <sheetViews>
    <sheetView zoomScaleNormal="100" workbookViewId="0">
      <selection activeCell="B16" sqref="B16:F16"/>
    </sheetView>
  </sheetViews>
  <sheetFormatPr defaultRowHeight="14.4"/>
  <cols>
    <col min="1" max="1" width="3.6640625" customWidth="1"/>
    <col min="2" max="2" width="32.5546875" customWidth="1"/>
    <col min="3" max="3" width="18.109375" customWidth="1"/>
    <col min="4" max="4" width="19.88671875" customWidth="1"/>
    <col min="5" max="5" width="17.109375" customWidth="1"/>
    <col min="9" max="9" width="10.44140625" customWidth="1"/>
  </cols>
  <sheetData>
    <row r="1" spans="1:8" ht="21">
      <c r="A1" s="22" t="s">
        <v>147</v>
      </c>
      <c r="B1" s="25"/>
      <c r="C1" s="25"/>
      <c r="D1" s="25"/>
      <c r="E1" s="25"/>
      <c r="F1" s="25"/>
      <c r="G1" s="25"/>
      <c r="H1" s="25"/>
    </row>
    <row r="2" spans="1:8" ht="18">
      <c r="A2" s="26" t="s">
        <v>10</v>
      </c>
      <c r="B2" s="25"/>
      <c r="C2" s="25"/>
      <c r="D2" s="25"/>
      <c r="E2" s="25"/>
      <c r="F2" s="25"/>
      <c r="G2" s="25"/>
      <c r="H2" s="25"/>
    </row>
    <row r="3" spans="1:8">
      <c r="A3" s="25"/>
      <c r="B3" s="25"/>
      <c r="C3" s="25"/>
      <c r="D3" s="25"/>
      <c r="E3" s="25"/>
      <c r="F3" s="25"/>
      <c r="G3" s="25"/>
      <c r="H3" s="25"/>
    </row>
    <row r="4" spans="1:8">
      <c r="A4" s="25"/>
      <c r="B4" s="25"/>
      <c r="C4" s="30" t="s">
        <v>175</v>
      </c>
      <c r="D4" s="30" t="s">
        <v>177</v>
      </c>
      <c r="E4" s="30"/>
      <c r="F4" s="25"/>
      <c r="G4" s="25"/>
      <c r="H4" s="25"/>
    </row>
    <row r="5" spans="1:8" ht="6.6" customHeight="1">
      <c r="A5" s="25"/>
      <c r="B5" s="25"/>
      <c r="C5" s="30"/>
      <c r="D5" s="25"/>
      <c r="E5" s="25"/>
      <c r="F5" s="25"/>
      <c r="G5" s="25"/>
      <c r="H5" s="25"/>
    </row>
    <row r="6" spans="1:8" ht="19.95" customHeight="1">
      <c r="A6" s="25"/>
      <c r="B6" s="100" t="s">
        <v>75</v>
      </c>
      <c r="C6" s="101">
        <v>26027</v>
      </c>
      <c r="D6" s="101">
        <v>104108</v>
      </c>
      <c r="E6" s="25"/>
      <c r="F6" s="25"/>
      <c r="G6" s="25"/>
      <c r="H6" s="25"/>
    </row>
    <row r="7" spans="1:8" ht="19.95" customHeight="1">
      <c r="A7" s="25"/>
      <c r="B7" s="102" t="s">
        <v>76</v>
      </c>
      <c r="C7" s="103">
        <v>27091</v>
      </c>
      <c r="D7" s="103">
        <v>108364</v>
      </c>
      <c r="E7" s="34"/>
      <c r="F7" s="25"/>
      <c r="G7" s="25"/>
      <c r="H7" s="25"/>
    </row>
    <row r="8" spans="1:8" ht="19.95" customHeight="1">
      <c r="A8" s="25"/>
      <c r="B8" s="102" t="s">
        <v>74</v>
      </c>
      <c r="C8" s="103">
        <v>55840</v>
      </c>
      <c r="D8" s="103">
        <v>223360</v>
      </c>
      <c r="E8" s="34"/>
      <c r="F8" s="25"/>
      <c r="G8" s="25"/>
      <c r="H8" s="25"/>
    </row>
    <row r="9" spans="1:8" ht="15" thickBot="1">
      <c r="A9" s="25"/>
      <c r="B9" s="25"/>
      <c r="C9" s="25"/>
      <c r="D9" s="25"/>
      <c r="E9" s="25"/>
      <c r="F9" s="25"/>
      <c r="G9" s="25"/>
      <c r="H9" s="25"/>
    </row>
    <row r="10" spans="1:8" ht="15" thickTop="1">
      <c r="A10" s="25"/>
      <c r="B10" s="25"/>
      <c r="C10" s="30" t="s">
        <v>3</v>
      </c>
      <c r="D10" s="159" t="s">
        <v>79</v>
      </c>
      <c r="E10" s="25"/>
      <c r="F10" s="25"/>
      <c r="G10" s="25"/>
      <c r="H10" s="25"/>
    </row>
    <row r="11" spans="1:8" ht="19.95" customHeight="1">
      <c r="A11" s="25"/>
      <c r="B11" s="100" t="s">
        <v>77</v>
      </c>
      <c r="C11" s="104">
        <f>D8-D7</f>
        <v>114996</v>
      </c>
      <c r="D11" s="109">
        <v>405205</v>
      </c>
      <c r="E11" s="25"/>
      <c r="F11" s="25"/>
      <c r="G11" s="25"/>
      <c r="H11" s="25"/>
    </row>
    <row r="12" spans="1:8" ht="19.95" customHeight="1" thickBot="1">
      <c r="A12" s="25"/>
      <c r="B12" s="102" t="s">
        <v>78</v>
      </c>
      <c r="C12" s="105">
        <f>D8-D6</f>
        <v>119252</v>
      </c>
      <c r="D12" s="174">
        <v>420202</v>
      </c>
      <c r="E12" s="25"/>
      <c r="F12" s="25"/>
      <c r="G12" s="25"/>
      <c r="H12" s="25"/>
    </row>
    <row r="13" spans="1:8" ht="15" thickTop="1">
      <c r="A13" s="25"/>
      <c r="B13" s="25"/>
      <c r="C13" s="25"/>
      <c r="D13" s="25"/>
      <c r="E13" s="25"/>
      <c r="F13" s="25"/>
      <c r="G13" s="25"/>
      <c r="H13" s="25"/>
    </row>
    <row r="14" spans="1:8" ht="27.6" customHeight="1">
      <c r="A14" s="25"/>
      <c r="B14" s="285" t="s">
        <v>215</v>
      </c>
      <c r="C14" s="286"/>
      <c r="D14" s="286"/>
      <c r="E14" s="25"/>
      <c r="F14" s="25"/>
      <c r="G14" s="25"/>
      <c r="H14" s="25"/>
    </row>
    <row r="15" spans="1:8">
      <c r="A15" s="25"/>
      <c r="B15" s="36"/>
      <c r="C15" s="25"/>
      <c r="D15" s="53"/>
      <c r="E15" s="25"/>
      <c r="F15" s="25"/>
      <c r="G15" s="25"/>
      <c r="H15" s="25"/>
    </row>
    <row r="16" spans="1:8" ht="5.4" customHeight="1">
      <c r="A16" s="25"/>
      <c r="B16" s="270"/>
      <c r="C16" s="270"/>
      <c r="D16" s="270"/>
      <c r="E16" s="270"/>
      <c r="F16" s="270"/>
      <c r="G16" s="25"/>
      <c r="H16" s="25"/>
    </row>
    <row r="17" spans="1:10" ht="15.6">
      <c r="A17" s="108" t="s">
        <v>176</v>
      </c>
      <c r="B17" s="107" t="s">
        <v>174</v>
      </c>
      <c r="C17" s="25"/>
      <c r="D17" s="25"/>
      <c r="E17" s="25"/>
      <c r="F17" s="25"/>
      <c r="G17" s="25"/>
      <c r="H17" s="25"/>
    </row>
    <row r="18" spans="1:10">
      <c r="A18" s="25"/>
      <c r="B18" s="29" t="s">
        <v>13</v>
      </c>
      <c r="C18" s="25"/>
      <c r="D18" s="30"/>
      <c r="E18" s="30"/>
      <c r="F18" s="25"/>
      <c r="G18" s="25"/>
      <c r="H18" s="25"/>
    </row>
    <row r="19" spans="1:10">
      <c r="A19" s="25"/>
      <c r="B19" s="25"/>
      <c r="C19" s="25"/>
      <c r="D19" s="52"/>
      <c r="E19" s="33"/>
      <c r="F19" s="25"/>
      <c r="G19" s="25"/>
      <c r="H19" s="25"/>
    </row>
    <row r="20" spans="1:10">
      <c r="A20" s="25"/>
      <c r="B20" s="25"/>
      <c r="C20" s="25"/>
      <c r="D20" s="62"/>
      <c r="E20" s="62"/>
      <c r="F20" s="25"/>
      <c r="G20" s="25"/>
      <c r="H20" s="25"/>
    </row>
    <row r="21" spans="1:10">
      <c r="A21" s="25"/>
      <c r="B21" s="25"/>
      <c r="C21" s="25"/>
      <c r="D21" s="25"/>
      <c r="E21" s="25"/>
      <c r="F21" s="25"/>
      <c r="G21" s="25"/>
      <c r="H21" s="25"/>
    </row>
    <row r="23" spans="1:10" ht="15" thickBot="1">
      <c r="A23" s="232"/>
      <c r="B23" s="232"/>
    </row>
    <row r="24" spans="1:10">
      <c r="G24" s="1" t="s">
        <v>235</v>
      </c>
    </row>
    <row r="25" spans="1:10">
      <c r="A25" s="225" t="s">
        <v>233</v>
      </c>
      <c r="C25" s="1" t="s">
        <v>234</v>
      </c>
      <c r="D25" s="1" t="s">
        <v>238</v>
      </c>
      <c r="E25" s="1" t="s">
        <v>107</v>
      </c>
      <c r="F25" s="1" t="s">
        <v>94</v>
      </c>
      <c r="G25" s="1" t="s">
        <v>95</v>
      </c>
      <c r="H25" s="1" t="s">
        <v>96</v>
      </c>
      <c r="I25" s="229" t="s">
        <v>1</v>
      </c>
    </row>
    <row r="26" spans="1:10">
      <c r="B26" t="s">
        <v>236</v>
      </c>
      <c r="C26" s="179">
        <f>D6</f>
        <v>104108</v>
      </c>
      <c r="D26" s="228">
        <v>4.8000000000000001E-2</v>
      </c>
      <c r="E26" s="226">
        <v>26027</v>
      </c>
      <c r="F26" s="226">
        <f>E26*(1+$D$26)</f>
        <v>27276.296000000002</v>
      </c>
      <c r="G26" s="226">
        <f t="shared" ref="G26:H26" si="0">F26*(1+$D$26)</f>
        <v>28585.558208000002</v>
      </c>
      <c r="H26" s="226">
        <f t="shared" si="0"/>
        <v>29957.665001984002</v>
      </c>
      <c r="I26" s="230">
        <f>SUM(E26:H26)</f>
        <v>111846.51920998401</v>
      </c>
      <c r="J26" s="231"/>
    </row>
    <row r="27" spans="1:10">
      <c r="B27" t="s">
        <v>237</v>
      </c>
      <c r="C27" s="179">
        <f>D8</f>
        <v>223360</v>
      </c>
      <c r="D27" s="228">
        <v>4.8000000000000001E-2</v>
      </c>
      <c r="E27" s="226">
        <f>C8</f>
        <v>55840</v>
      </c>
      <c r="F27" s="226">
        <f>E27*(1+$D$27)</f>
        <v>58520.32</v>
      </c>
      <c r="G27" s="226">
        <f t="shared" ref="G27:H27" si="1">F27*(1+$D$27)</f>
        <v>61329.295360000004</v>
      </c>
      <c r="H27" s="226">
        <f t="shared" si="1"/>
        <v>64273.101537280003</v>
      </c>
      <c r="I27" s="230">
        <f>SUM(E27:H27)</f>
        <v>239962.71689728001</v>
      </c>
      <c r="J27" s="231"/>
    </row>
    <row r="28" spans="1:10">
      <c r="A28" s="7"/>
      <c r="B28" s="7"/>
    </row>
    <row r="29" spans="1:10">
      <c r="A29" s="227" t="s">
        <v>239</v>
      </c>
      <c r="B29" s="2"/>
    </row>
  </sheetData>
  <mergeCells count="2">
    <mergeCell ref="B16:F16"/>
    <mergeCell ref="B14:D14"/>
  </mergeCells>
  <hyperlinks>
    <hyperlink ref="B18" r:id="rId1" xr:uid="{5822937A-5442-463F-B33A-2FC9F19EB74F}"/>
  </hyperlinks>
  <pageMargins left="0.7" right="0.7" top="0.75" bottom="0.75" header="0.3" footer="0.3"/>
  <pageSetup orientation="landscape" horizontalDpi="0" verticalDpi="0" r:id="rId2"/>
  <headerFooter>
    <oddFooter>&amp;LDIYmoneytrack.com - Copyrighted Material&amp;R&amp;P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5DC9-97CD-46B2-9554-837DC4EF715A}">
  <sheetPr>
    <tabColor rgb="FF92D050"/>
  </sheetPr>
  <dimension ref="A1:M33"/>
  <sheetViews>
    <sheetView zoomScale="90" zoomScaleNormal="90" workbookViewId="0">
      <selection activeCell="E42" sqref="E42"/>
    </sheetView>
  </sheetViews>
  <sheetFormatPr defaultRowHeight="14.4"/>
  <cols>
    <col min="1" max="1" width="36.6640625" customWidth="1"/>
    <col min="2" max="2" width="14.21875" customWidth="1"/>
    <col min="3" max="3" width="14.88671875" customWidth="1"/>
    <col min="4" max="4" width="17.21875" customWidth="1"/>
    <col min="5" max="5" width="14.77734375" customWidth="1"/>
  </cols>
  <sheetData>
    <row r="1" spans="1:8" ht="21">
      <c r="A1" s="21" t="s">
        <v>147</v>
      </c>
    </row>
    <row r="2" spans="1:8" ht="18">
      <c r="A2" s="20" t="s">
        <v>65</v>
      </c>
      <c r="D2" s="5"/>
      <c r="E2" s="5"/>
    </row>
    <row r="3" spans="1:8">
      <c r="A3" s="6"/>
      <c r="D3" s="5" t="s">
        <v>57</v>
      </c>
      <c r="E3" s="5"/>
    </row>
    <row r="4" spans="1:8" ht="16.2">
      <c r="A4" t="s">
        <v>203</v>
      </c>
      <c r="B4" s="1" t="s">
        <v>243</v>
      </c>
      <c r="C4" s="1" t="s">
        <v>202</v>
      </c>
      <c r="D4" s="1" t="s">
        <v>240</v>
      </c>
      <c r="E4" s="210" t="s">
        <v>241</v>
      </c>
    </row>
    <row r="5" spans="1:8" ht="9" customHeight="1">
      <c r="B5" s="1"/>
      <c r="C5" s="1"/>
      <c r="D5" s="1"/>
      <c r="E5" s="210"/>
    </row>
    <row r="6" spans="1:8" ht="22.05" customHeight="1">
      <c r="A6" s="211" t="s">
        <v>213</v>
      </c>
      <c r="B6" s="212">
        <v>2000</v>
      </c>
      <c r="C6" s="212">
        <f>B6/12</f>
        <v>166.66666666666666</v>
      </c>
      <c r="D6" s="213">
        <f>B6*12</f>
        <v>24000</v>
      </c>
      <c r="E6" s="214">
        <v>36284</v>
      </c>
    </row>
    <row r="7" spans="1:8" ht="22.05" hidden="1" customHeight="1">
      <c r="A7" s="215" t="s">
        <v>214</v>
      </c>
      <c r="B7" s="216"/>
      <c r="C7" s="216"/>
      <c r="D7" s="217"/>
      <c r="E7" s="218"/>
    </row>
    <row r="9" spans="1:8" ht="15" thickBot="1">
      <c r="A9" s="232" t="s">
        <v>242</v>
      </c>
      <c r="B9" s="232"/>
    </row>
    <row r="10" spans="1:8" ht="7.8" customHeight="1"/>
    <row r="11" spans="1:8">
      <c r="A11" s="178" t="s">
        <v>244</v>
      </c>
      <c r="B11" s="1" t="s">
        <v>32</v>
      </c>
      <c r="C11" s="1" t="s">
        <v>23</v>
      </c>
      <c r="D11" s="1" t="s">
        <v>24</v>
      </c>
    </row>
    <row r="12" spans="1:8">
      <c r="A12" t="s">
        <v>204</v>
      </c>
      <c r="B12" s="4">
        <f>500/12</f>
        <v>41.666666666666664</v>
      </c>
      <c r="C12" s="4">
        <v>1000</v>
      </c>
      <c r="D12" s="4"/>
      <c r="E12" t="s">
        <v>247</v>
      </c>
      <c r="H12" s="2" t="s">
        <v>42</v>
      </c>
    </row>
    <row r="13" spans="1:8">
      <c r="A13" t="s">
        <v>21</v>
      </c>
      <c r="B13" s="4">
        <v>325</v>
      </c>
      <c r="C13" s="4">
        <f>670/2</f>
        <v>335</v>
      </c>
      <c r="D13" s="4">
        <f>620/2</f>
        <v>310</v>
      </c>
      <c r="E13" t="s">
        <v>34</v>
      </c>
    </row>
    <row r="14" spans="1:8">
      <c r="A14" t="s">
        <v>43</v>
      </c>
      <c r="B14" s="4">
        <v>100</v>
      </c>
      <c r="C14" s="4"/>
      <c r="D14" s="4">
        <v>110</v>
      </c>
      <c r="E14" t="s">
        <v>34</v>
      </c>
    </row>
    <row r="15" spans="1:8">
      <c r="A15" t="s">
        <v>22</v>
      </c>
      <c r="B15" s="4">
        <v>100</v>
      </c>
      <c r="C15" s="4">
        <v>100</v>
      </c>
      <c r="D15" s="4">
        <v>100</v>
      </c>
      <c r="E15" t="s">
        <v>33</v>
      </c>
      <c r="F15" s="2" t="s">
        <v>35</v>
      </c>
      <c r="G15" s="2"/>
    </row>
    <row r="16" spans="1:8">
      <c r="A16" t="s">
        <v>26</v>
      </c>
      <c r="B16" s="4"/>
      <c r="C16" s="4"/>
      <c r="D16" s="4"/>
      <c r="F16" s="2" t="s">
        <v>36</v>
      </c>
      <c r="G16" s="2"/>
    </row>
    <row r="17" spans="1:13">
      <c r="A17" t="s">
        <v>27</v>
      </c>
      <c r="B17" s="4">
        <f>50*12</f>
        <v>600</v>
      </c>
      <c r="C17" s="4"/>
      <c r="D17" s="4"/>
      <c r="E17" t="s">
        <v>39</v>
      </c>
      <c r="F17" s="2" t="s">
        <v>37</v>
      </c>
      <c r="G17" s="2"/>
    </row>
    <row r="18" spans="1:13">
      <c r="A18" t="s">
        <v>28</v>
      </c>
      <c r="B18" s="4"/>
      <c r="C18" s="4"/>
      <c r="D18" s="4"/>
      <c r="F18" s="2"/>
      <c r="G18" s="2"/>
    </row>
    <row r="19" spans="1:13">
      <c r="A19" t="s">
        <v>29</v>
      </c>
      <c r="B19" s="4">
        <f>300+108+175</f>
        <v>583</v>
      </c>
      <c r="C19" s="4"/>
      <c r="D19" s="4"/>
      <c r="E19" t="s">
        <v>34</v>
      </c>
      <c r="F19" s="2" t="s">
        <v>38</v>
      </c>
      <c r="G19" s="2"/>
    </row>
    <row r="20" spans="1:13">
      <c r="A20" t="s">
        <v>30</v>
      </c>
      <c r="B20" s="15">
        <v>400</v>
      </c>
      <c r="C20" s="4"/>
      <c r="D20" s="4"/>
      <c r="E20" t="s">
        <v>39</v>
      </c>
      <c r="F20" s="2" t="s">
        <v>40</v>
      </c>
      <c r="G20" s="2"/>
    </row>
    <row r="21" spans="1:13">
      <c r="A21" s="7" t="s">
        <v>31</v>
      </c>
      <c r="B21" s="16">
        <f>5*40</f>
        <v>200</v>
      </c>
      <c r="C21" s="8"/>
      <c r="D21" s="8"/>
      <c r="E21" s="7" t="s">
        <v>39</v>
      </c>
      <c r="F21" s="12" t="s">
        <v>41</v>
      </c>
      <c r="G21" s="12"/>
      <c r="H21" s="7"/>
    </row>
    <row r="22" spans="1:13">
      <c r="A22" s="234" t="s">
        <v>201</v>
      </c>
      <c r="B22" s="235">
        <f>SUM(B12:B21)</f>
        <v>2349.666666666667</v>
      </c>
      <c r="E22" s="11"/>
      <c r="F22" s="19"/>
    </row>
    <row r="23" spans="1:13">
      <c r="A23" s="236" t="s">
        <v>2</v>
      </c>
      <c r="B23" s="235">
        <f>B22/12</f>
        <v>195.80555555555557</v>
      </c>
      <c r="C23" s="10"/>
      <c r="D23" s="11"/>
      <c r="E23" s="11"/>
      <c r="F23" s="19"/>
    </row>
    <row r="24" spans="1:13">
      <c r="A24" s="180"/>
      <c r="B24" s="181"/>
      <c r="C24" s="10"/>
      <c r="D24" s="11"/>
      <c r="E24" s="11"/>
      <c r="F24" s="19"/>
    </row>
    <row r="25" spans="1:13">
      <c r="A25" s="3" t="s">
        <v>25</v>
      </c>
      <c r="B25" s="181"/>
      <c r="C25" s="10"/>
      <c r="D25" s="11"/>
      <c r="E25" s="11"/>
      <c r="F25" s="19"/>
    </row>
    <row r="26" spans="1:13">
      <c r="B26" s="9"/>
      <c r="C26" s="10"/>
      <c r="D26" s="11"/>
      <c r="E26" s="11"/>
      <c r="F26" s="19"/>
    </row>
    <row r="27" spans="1:13" ht="18" customHeight="1">
      <c r="A27" s="178" t="s">
        <v>200</v>
      </c>
      <c r="B27" s="9"/>
      <c r="C27" s="13" t="s">
        <v>45</v>
      </c>
      <c r="D27" s="11"/>
      <c r="E27" s="11"/>
      <c r="F27" s="18"/>
      <c r="G27" s="17"/>
      <c r="H27" s="17"/>
      <c r="I27" s="17"/>
      <c r="J27" s="17"/>
      <c r="K27" s="17"/>
      <c r="L27" s="17"/>
      <c r="M27" s="17"/>
    </row>
    <row r="28" spans="1:13" ht="18" customHeight="1">
      <c r="A28" s="234" t="s">
        <v>201</v>
      </c>
      <c r="B28" s="237">
        <v>1819</v>
      </c>
      <c r="C28" s="14" t="s">
        <v>46</v>
      </c>
      <c r="D28" s="11"/>
      <c r="E28" s="11"/>
      <c r="F28" s="17"/>
      <c r="G28" s="17"/>
      <c r="H28" s="17"/>
      <c r="I28" s="17"/>
      <c r="J28" s="17"/>
      <c r="K28" s="17"/>
      <c r="L28" s="17"/>
      <c r="M28" s="17"/>
    </row>
    <row r="29" spans="1:13" ht="18" customHeight="1">
      <c r="A29" s="234" t="s">
        <v>2</v>
      </c>
      <c r="B29" s="237">
        <f>B28/12</f>
        <v>151.58333333333334</v>
      </c>
      <c r="C29" s="13" t="s">
        <v>47</v>
      </c>
      <c r="D29" s="11"/>
      <c r="E29" s="11"/>
      <c r="F29" s="17"/>
      <c r="G29" s="17"/>
      <c r="H29" s="17"/>
      <c r="I29" s="17"/>
      <c r="J29" s="17"/>
      <c r="K29" s="17"/>
      <c r="L29" s="17"/>
      <c r="M29" s="17"/>
    </row>
    <row r="30" spans="1:13" ht="18" customHeight="1">
      <c r="B30" s="9"/>
      <c r="C30" s="13" t="s">
        <v>48</v>
      </c>
      <c r="D30" s="11"/>
      <c r="E30" s="11"/>
      <c r="F30" s="17"/>
      <c r="G30" s="17"/>
      <c r="H30" s="17"/>
      <c r="I30" s="17"/>
      <c r="J30" s="17"/>
      <c r="K30" s="17"/>
      <c r="L30" s="17"/>
      <c r="M30" s="17"/>
    </row>
    <row r="32" spans="1:13">
      <c r="A32" s="233" t="s">
        <v>245</v>
      </c>
    </row>
    <row r="33" spans="1:1">
      <c r="A33" s="233" t="s">
        <v>246</v>
      </c>
    </row>
  </sheetData>
  <hyperlinks>
    <hyperlink ref="A25" r:id="rId1" xr:uid="{7E9447E2-B834-40EA-B026-A4D7E66DDA80}"/>
    <hyperlink ref="C27" r:id="rId2" location="interesting-findings-" xr:uid="{0BE79B39-F46D-402C-8C1E-FB8460AEAC14}"/>
    <hyperlink ref="C29" r:id="rId3" xr:uid="{0A2F09F8-2EF3-4988-97F9-12065DDE15A3}"/>
    <hyperlink ref="C30" r:id="rId4" xr:uid="{2D758DF0-F166-4C8B-BC5B-596FA6FF48E8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</vt:lpstr>
      <vt:lpstr>1. Retire</vt:lpstr>
      <vt:lpstr>2. Vehicle</vt:lpstr>
      <vt:lpstr>3. Housing</vt:lpstr>
      <vt:lpstr>4. Raising a child</vt:lpstr>
      <vt:lpstr>5. College</vt:lpstr>
      <vt:lpstr>Owning a Pet</vt:lpstr>
      <vt:lpstr>'1. Retire'!Print_Area</vt:lpstr>
      <vt:lpstr>'2. Vehicle'!Print_Area</vt:lpstr>
      <vt:lpstr>'3. Housing'!Print_Area</vt:lpstr>
      <vt:lpstr>'4. Raising a child'!Print_Area</vt:lpstr>
      <vt:lpstr>SUM!Print_Area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Downs</dc:creator>
  <cp:lastModifiedBy>Edward Downs</cp:lastModifiedBy>
  <cp:lastPrinted>2023-12-22T14:31:49Z</cp:lastPrinted>
  <dcterms:created xsi:type="dcterms:W3CDTF">2018-01-21T18:53:24Z</dcterms:created>
  <dcterms:modified xsi:type="dcterms:W3CDTF">2023-12-29T16:57:27Z</dcterms:modified>
</cp:coreProperties>
</file>